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075" windowHeight="10740" activeTab="0"/>
  </bookViews>
  <sheets>
    <sheet name="Introduction" sheetId="1" r:id="rId1"/>
    <sheet name="Water Rights Purchase" sheetId="2" r:id="rId2"/>
    <sheet name="Water Rights Urbanization" sheetId="3" r:id="rId3"/>
    <sheet name="Water Rights Contract" sheetId="4" r:id="rId4"/>
    <sheet name="Non-Potable Reuse" sheetId="5" r:id="rId5"/>
    <sheet name="Potable Water Reuse" sheetId="6" r:id="rId6"/>
    <sheet name="Advanced Water Conservation" sheetId="7" r:id="rId7"/>
    <sheet name="Seawater Desalination" sheetId="8" r:id="rId8"/>
    <sheet name="Brackish Desalination" sheetId="9" r:id="rId9"/>
    <sheet name="Additional Groundwater" sheetId="10" r:id="rId10"/>
    <sheet name="Brownsville Weir and Reservoir" sheetId="11" r:id="rId11"/>
    <sheet name="Resaca Restoration" sheetId="12" r:id="rId12"/>
    <sheet name="Laredo Low Water Weir" sheetId="13" r:id="rId13"/>
    <sheet name="Banco Morales Reservoir" sheetId="14" r:id="rId14"/>
    <sheet name="Proposed Elsa Infrastructure" sheetId="15" r:id="rId15"/>
    <sheet name="Irrigation On-Farm Conservation" sheetId="16" r:id="rId16"/>
    <sheet name="Conveyance System" sheetId="17" r:id="rId17"/>
  </sheets>
  <definedNames>
    <definedName name="_xlnm.Print_Area" localSheetId="9">'Additional Groundwater'!$F$16:$L$47</definedName>
    <definedName name="_xlnm.Print_Area" localSheetId="6">'Advanced Water Conservation'!$E$4:$K$35</definedName>
    <definedName name="_xlnm.Print_Area" localSheetId="13">'Banco Morales Reservoir'!$G$17:$M$48</definedName>
    <definedName name="_xlnm.Print_Area" localSheetId="8">'Brackish Desalination'!$I$11:$O$43</definedName>
    <definedName name="_xlnm.Print_Area" localSheetId="10">'Brownsville Weir and Reservoir'!$F$17:$L$48</definedName>
    <definedName name="_xlnm.Print_Area" localSheetId="16">'Conveyance System'!$F$3:$L$34</definedName>
    <definedName name="_xlnm.Print_Area" localSheetId="15">'Irrigation On-Farm Conservation'!$F$4:$L$35</definedName>
    <definedName name="_xlnm.Print_Area" localSheetId="12">'Laredo Low Water Weir'!$F$17:$L$48</definedName>
    <definedName name="_xlnm.Print_Area" localSheetId="4">'Non-Potable Reuse'!$G$10:$M$41</definedName>
    <definedName name="_xlnm.Print_Area" localSheetId="5">'Potable Water Reuse'!$H$3:$N$34</definedName>
    <definedName name="_xlnm.Print_Area" localSheetId="14">'Proposed Elsa Infrastructure'!$G$9:$M$40</definedName>
    <definedName name="_xlnm.Print_Area" localSheetId="11">'Resaca Restoration'!$A$1:$D$38</definedName>
    <definedName name="_xlnm.Print_Area" localSheetId="3">'Water Rights Contract'!$F$13:$L$44</definedName>
    <definedName name="_xlnm.Print_Area" localSheetId="1">'Water Rights Purchase'!$G$34:$M$66</definedName>
    <definedName name="_xlnm.Print_Area" localSheetId="2">'Water Rights Urbanization'!$F$11:$L$42</definedName>
  </definedNames>
  <calcPr fullCalcOnLoad="1"/>
</workbook>
</file>

<file path=xl/sharedStrings.xml><?xml version="1.0" encoding="utf-8"?>
<sst xmlns="http://schemas.openxmlformats.org/spreadsheetml/2006/main" count="1400" uniqueCount="252">
  <si>
    <t>Advanced Water Conservation</t>
  </si>
  <si>
    <t>Table AC-1.  Advanced conservation projected initial costs, 2007.</t>
  </si>
  <si>
    <t>Item</t>
  </si>
  <si>
    <t>Description</t>
  </si>
  <si>
    <t>US$2007</t>
  </si>
  <si>
    <t>Initial Capital Costs</t>
  </si>
  <si>
    <t>School Education @ $5/student (2000 population)</t>
  </si>
  <si>
    <t>Public Education @ $5/person (2010 population)</t>
  </si>
  <si>
    <t>Construction Cost Subtotal</t>
  </si>
  <si>
    <t>Other Capital Outlays</t>
  </si>
  <si>
    <t>Delivery infrastructure ($219,525/mile) @ 1 mile</t>
  </si>
  <si>
    <t>Engineering/Other (35%)</t>
  </si>
  <si>
    <t>Land and easements (5%)</t>
  </si>
  <si>
    <t>Environmental (1%)</t>
  </si>
  <si>
    <t>Other Capital Outlay Costs Subtotal</t>
  </si>
  <si>
    <t>Table AC-2.  Advanced conservation debt service costs, 2007.</t>
  </si>
  <si>
    <t>Value</t>
  </si>
  <si>
    <t>Unit</t>
  </si>
  <si>
    <t>Construction costs</t>
  </si>
  <si>
    <t>Other capital outlays</t>
  </si>
  <si>
    <t>Total initial costs (i.e., loan principle)</t>
  </si>
  <si>
    <t>Annual Interest Rate</t>
  </si>
  <si>
    <t>Number</t>
  </si>
  <si>
    <t>Monthly Interest Rate</t>
  </si>
  <si>
    <t>Years of Loan/Lifetime</t>
  </si>
  <si>
    <t>Years</t>
  </si>
  <si>
    <t>Number Monthly Payments</t>
  </si>
  <si>
    <t>Monthly Payments on Loan</t>
  </si>
  <si>
    <t>Annual Payments on Loan</t>
  </si>
  <si>
    <t>Interest During Construction</t>
  </si>
  <si>
    <t>Table AC-3.  Advanced conservation total annual project costs, water production, and per unit production costs, 2007.</t>
  </si>
  <si>
    <t>Annual Costs</t>
  </si>
  <si>
    <t>Total Annual Costs</t>
  </si>
  <si>
    <t>Water Production</t>
  </si>
  <si>
    <t xml:space="preserve"> Million-Gallons-Per-Day </t>
  </si>
  <si>
    <t>1,000 gallons/year</t>
  </si>
  <si>
    <t>acre-feet/year</t>
  </si>
  <si>
    <t>Costs per-unit</t>
  </si>
  <si>
    <t>$/1,000 gallons</t>
  </si>
  <si>
    <t>$/acre-foot</t>
  </si>
  <si>
    <t>Construction</t>
  </si>
  <si>
    <t>Interest During Construction (IDC) Calculator</t>
  </si>
  <si>
    <t>Loan Information</t>
  </si>
  <si>
    <t>Principal</t>
  </si>
  <si>
    <t>Monthly Payment</t>
  </si>
  <si>
    <t>Annual Payment</t>
  </si>
  <si>
    <t>Lifetime payments</t>
  </si>
  <si>
    <t>Assuming: Construction period equals 1 year</t>
  </si>
  <si>
    <t>Month</t>
  </si>
  <si>
    <t>Payment Number</t>
  </si>
  <si>
    <t>Principle payment</t>
  </si>
  <si>
    <t>Interest Payment</t>
  </si>
  <si>
    <t>Total Payment</t>
  </si>
  <si>
    <t>Unspent Funds</t>
  </si>
  <si>
    <t>Jan</t>
  </si>
  <si>
    <t>Feb</t>
  </si>
  <si>
    <t>Mar</t>
  </si>
  <si>
    <t>Apr</t>
  </si>
  <si>
    <t>May</t>
  </si>
  <si>
    <t>Jun</t>
  </si>
  <si>
    <t>Jul</t>
  </si>
  <si>
    <t>Aug</t>
  </si>
  <si>
    <t>Sep</t>
  </si>
  <si>
    <t>Oct</t>
  </si>
  <si>
    <t>Nov</t>
  </si>
  <si>
    <t>Dec</t>
  </si>
  <si>
    <t>Total</t>
  </si>
  <si>
    <t>Return on Investment</t>
  </si>
  <si>
    <t>Capital Cost</t>
  </si>
  <si>
    <r>
      <t>PP</t>
    </r>
    <r>
      <rPr>
        <vertAlign val="subscript"/>
        <sz val="9"/>
        <color indexed="8"/>
        <rFont val="Times New Roman"/>
        <family val="2"/>
      </rPr>
      <t>t</t>
    </r>
  </si>
  <si>
    <r>
      <t>IP</t>
    </r>
    <r>
      <rPr>
        <vertAlign val="subscript"/>
        <sz val="9"/>
        <color indexed="8"/>
        <rFont val="Times New Roman"/>
        <family val="2"/>
      </rPr>
      <t>t</t>
    </r>
  </si>
  <si>
    <r>
      <t>TP</t>
    </r>
    <r>
      <rPr>
        <vertAlign val="subscript"/>
        <sz val="9"/>
        <color indexed="8"/>
        <rFont val="Times New Roman"/>
        <family val="2"/>
      </rPr>
      <t xml:space="preserve">t </t>
    </r>
    <r>
      <rPr>
        <sz val="9"/>
        <color indexed="8"/>
        <rFont val="Times New Roman"/>
        <family val="2"/>
      </rPr>
      <t>= IP</t>
    </r>
    <r>
      <rPr>
        <vertAlign val="subscript"/>
        <sz val="9"/>
        <color indexed="8"/>
        <rFont val="Times New Roman"/>
        <family val="2"/>
      </rPr>
      <t>t</t>
    </r>
    <r>
      <rPr>
        <sz val="9"/>
        <color indexed="8"/>
        <rFont val="Times New Roman"/>
        <family val="2"/>
      </rPr>
      <t xml:space="preserve"> + PP</t>
    </r>
    <r>
      <rPr>
        <vertAlign val="subscript"/>
        <sz val="9"/>
        <color indexed="8"/>
        <rFont val="Times New Roman"/>
        <family val="2"/>
      </rPr>
      <t>t</t>
    </r>
  </si>
  <si>
    <r>
      <t>UF</t>
    </r>
    <r>
      <rPr>
        <vertAlign val="subscript"/>
        <sz val="9"/>
        <color indexed="8"/>
        <rFont val="Times New Roman"/>
        <family val="2"/>
      </rPr>
      <t>t</t>
    </r>
  </si>
  <si>
    <t>Non-potable water reuse</t>
  </si>
  <si>
    <t>Table NPWR-1.  Non-potable reuse projected initial costs, 2007.</t>
  </si>
  <si>
    <t>Treatment system</t>
  </si>
  <si>
    <t>Transmission system (assumes 1 mile)</t>
  </si>
  <si>
    <t>Table NPWR-2.  Non-potable reuse debt service costs, 2007.</t>
  </si>
  <si>
    <t>Other Capital Outlay Costs</t>
  </si>
  <si>
    <t>Table NPWR-3.  Non-Potable reuse total annual project costs, water production, and per unit production costs, 2007.</t>
  </si>
  <si>
    <t>O&amp;M</t>
  </si>
  <si>
    <t>Treatment</t>
  </si>
  <si>
    <t>Potable Water Reuse</t>
  </si>
  <si>
    <t>Table PWR-1.  Potable reuse projected initial costs, 2007.</t>
  </si>
  <si>
    <t>Table PWR-2.  Potable reuse debt service costs, 2007.</t>
  </si>
  <si>
    <t>Table PWR-3.  Potable water reuse total annual project costs, water production, and per unit production costs, 2007.</t>
  </si>
  <si>
    <t>Table BWR-1.  Brownsville Weir &amp; Reservoir projected initial costs, 2007.</t>
  </si>
  <si>
    <t>Weir &amp; Reservoir construction</t>
  </si>
  <si>
    <t>Water Treatment Facility (35 MGD)</t>
  </si>
  <si>
    <t>Treated Water Storage</t>
  </si>
  <si>
    <t>Table BWR-2.  Brownsville Weir &amp; Reservoir debt service costs, 2007.</t>
  </si>
  <si>
    <t>Table BWR-3.  Brownsville Weir &amp; Reservoir total annual project costs, water production, and per unit production costs, 2007.  Water production approximated at 20,643 acre-feet per year (18.43 MGD).</t>
  </si>
  <si>
    <t>O&amp;M Water treatment facility</t>
  </si>
  <si>
    <t>O&amp;M Weir and Reservoir</t>
  </si>
  <si>
    <t>Brackish groundwater desalination</t>
  </si>
  <si>
    <r>
      <t xml:space="preserve">The cost estimate for the brackish groundwater desalination WMS is largely derived from cost data published in the </t>
    </r>
    <r>
      <rPr>
        <i/>
        <sz val="11"/>
        <rFont val="Times New Roman"/>
        <family val="1"/>
      </rPr>
      <t>Guidance Manual</t>
    </r>
    <r>
      <rPr>
        <sz val="11"/>
        <rFont val="Times New Roman"/>
        <family val="1"/>
      </rPr>
      <t xml:space="preserve"> </t>
    </r>
    <r>
      <rPr>
        <i/>
        <sz val="11"/>
        <rFont val="Times New Roman"/>
        <family val="1"/>
      </rPr>
      <t>for Brackish Groundwater Desalination in Texas</t>
    </r>
    <r>
      <rPr>
        <sz val="11"/>
        <rFont val="Times New Roman"/>
        <family val="1"/>
      </rPr>
      <t xml:space="preserve"> (2008)</t>
    </r>
    <r>
      <rPr>
        <i/>
        <sz val="11"/>
        <rFont val="Times New Roman"/>
        <family val="1"/>
      </rPr>
      <t>.</t>
    </r>
    <r>
      <rPr>
        <sz val="11"/>
        <rFont val="Times New Roman"/>
        <family val="1"/>
      </rPr>
      <t xml:space="preserve">  The Guidance Manual cited the experience and knowledge gained during development of the North Cameron Regional Water Project (North Cameron).  This project, a brackish groundwater desalination facility with a capacity of 2.25 million gallons per day, provides the construction cost data used in the development the per unit cost estimation used in the Plan for the WMS, brackish groundwater desalination (Table BWRO-1.  The construction period for North Cameron ended in 2007, so no additional manipulation (i.e., inflating or discounting) of the cost data was done.</t>
    </r>
  </si>
  <si>
    <t>Table BWRO-1.  Brackish groundwater desalination construction cost data from North Cameron Regional Water Project, 2007.</t>
  </si>
  <si>
    <t>Reverse osmosis building, concentrate lines, off-site</t>
  </si>
  <si>
    <t>Reverse osmosis system</t>
  </si>
  <si>
    <t>Production well</t>
  </si>
  <si>
    <t>Ground storage tank (2 MG)</t>
  </si>
  <si>
    <t>Site fencing</t>
  </si>
  <si>
    <t>High service pump system and chlorination building</t>
  </si>
  <si>
    <t>Secondary containment (pipes, valves, pumps, and installation)</t>
  </si>
  <si>
    <t>PVC piping (valves, accessories, pumps and wet well)</t>
  </si>
  <si>
    <t>Electrical supervisory control and data acquisition</t>
  </si>
  <si>
    <t>Chlorination</t>
  </si>
  <si>
    <t>Paving, grading, and flatwork (sidewalks and driveway)</t>
  </si>
  <si>
    <t>Ductile iron header</t>
  </si>
  <si>
    <t>Culvert</t>
  </si>
  <si>
    <t>Irrigation line</t>
  </si>
  <si>
    <t>Transformer pad and conduit from service to pad</t>
  </si>
  <si>
    <t>Temporary power hookup</t>
  </si>
  <si>
    <t>Construction cost subtotal</t>
  </si>
  <si>
    <t>In addition to construction costs, water projects, such as North Cameron, incur a variety of pre-construction costs and/or planning costs.  These costs, which include water delivery infrastructure, engineering, land and easement purchases, are categorized as “Other capital outlays” per Exhibit B (Table BWRO-2).  Note the “purchased water cost” for brackish groundwater desalination is not available (N/A).  For groundwater, this cost is presumed to be zero.</t>
  </si>
  <si>
    <t>Table BWRO-2.  Brackish groundwater desalination other capital outlay cost data from North Cameron Regional Water Project and estimations, 2007</t>
  </si>
  <si>
    <r>
      <t xml:space="preserve">Data from </t>
    </r>
    <r>
      <rPr>
        <i/>
        <sz val="11"/>
        <color indexed="8"/>
        <rFont val="Times New Roman"/>
        <family val="1"/>
      </rPr>
      <t>Guidance Manual</t>
    </r>
  </si>
  <si>
    <t>Test wells</t>
  </si>
  <si>
    <t>Test well evaluation</t>
  </si>
  <si>
    <t>Laboratory testing</t>
  </si>
  <si>
    <t>Estimations (with assumptions)</t>
  </si>
  <si>
    <t>Purchased water cost</t>
  </si>
  <si>
    <t>N/A</t>
  </si>
  <si>
    <t>The construction and other capital outlay costs were compiled and a single debt service cost was estimated to cover these initial project costs (Table BWRO-3).  The lifetime of the loan and the project are both assumed to be for 20 years.  Interest for the loan is assumed to be 6%.</t>
  </si>
  <si>
    <t>Table BWRO-3.  Brackish groundwater desalination estimated debt service costs, 2007.</t>
  </si>
  <si>
    <t>Table BWRO-4: Brackish groundwater desalination estimated total annual project costs, water production, and per unit production costs, 2007.</t>
  </si>
  <si>
    <t>Operations and maintenance (30%)</t>
  </si>
  <si>
    <t>Power cost (30%)</t>
  </si>
  <si>
    <t>Cost</t>
  </si>
  <si>
    <t>Site Development</t>
  </si>
  <si>
    <t>Seawater Intake System</t>
  </si>
  <si>
    <t>Pretreatment System</t>
  </si>
  <si>
    <t>Primary Treatment System</t>
  </si>
  <si>
    <t>Post Treatment System</t>
  </si>
  <si>
    <t>Solids Handling System</t>
  </si>
  <si>
    <t xml:space="preserve">Yard Piping </t>
  </si>
  <si>
    <t>Support Facilities</t>
  </si>
  <si>
    <t>Electrical and Instrumentation</t>
  </si>
  <si>
    <t>Subtotal</t>
  </si>
  <si>
    <t>Effective Contingency</t>
  </si>
  <si>
    <t>Total Desalination Plant</t>
  </si>
  <si>
    <t>Desalination</t>
  </si>
  <si>
    <t>Brine Disposal System</t>
  </si>
  <si>
    <t>Brine Transfer Pump Station</t>
  </si>
  <si>
    <t>Brine Disposal Main (Ocean Installation</t>
  </si>
  <si>
    <t>Brine Disposal Main (Open-cut Land Installation)</t>
  </si>
  <si>
    <t>Brine Disposal Main (Bench head)</t>
  </si>
  <si>
    <t>Diffuser Array</t>
  </si>
  <si>
    <t>Easement Acquisition</t>
  </si>
  <si>
    <t>Contingency</t>
  </si>
  <si>
    <t>Total Brine Disposal</t>
  </si>
  <si>
    <t>Finished Water Transmission System</t>
  </si>
  <si>
    <t>Finished Water Transfer &amp; HS Pumps</t>
  </si>
  <si>
    <t>2.0 MG Ground Storage Tank</t>
  </si>
  <si>
    <t>Land and Right of Way</t>
  </si>
  <si>
    <t>Total Finished Water</t>
  </si>
  <si>
    <t>Construction Costs</t>
  </si>
  <si>
    <t>Design Determination Studies</t>
  </si>
  <si>
    <t>Design and Specifications</t>
  </si>
  <si>
    <t>Environmental Review and Permitting</t>
  </si>
  <si>
    <t>Construction Support Services</t>
  </si>
  <si>
    <t>Startup Support Services</t>
  </si>
  <si>
    <t>Total Project Implementation</t>
  </si>
  <si>
    <t>TOTAL Construction Cost</t>
  </si>
  <si>
    <t xml:space="preserve">Operations and maintenance </t>
  </si>
  <si>
    <t xml:space="preserve">Power cost </t>
  </si>
  <si>
    <t>Table AWR-1.  Reported and inflated construction costs of a 10 MGD surface water treatment facility.</t>
  </si>
  <si>
    <t>Raw water intake screens/gates</t>
  </si>
  <si>
    <t>Raw water reservoir</t>
  </si>
  <si>
    <t>High service pump station</t>
  </si>
  <si>
    <t>Raw water pump station</t>
  </si>
  <si>
    <t>Flocculation/sedimentation basins</t>
  </si>
  <si>
    <t>Membraen filtration equipment</t>
  </si>
  <si>
    <t>Filter building</t>
  </si>
  <si>
    <t>Chemical storage/feed system</t>
  </si>
  <si>
    <t>Administrative/lab/control building</t>
  </si>
  <si>
    <t>Chemical building</t>
  </si>
  <si>
    <t>Clearwell tank</t>
  </si>
  <si>
    <t>Recycle pump station</t>
  </si>
  <si>
    <t>Backwash waste/sludge lagoon</t>
  </si>
  <si>
    <t>Plant piping &amp; valving</t>
  </si>
  <si>
    <t>Plant electrical</t>
  </si>
  <si>
    <t>Site grading &amp; seeding</t>
  </si>
  <si>
    <t>Site paving</t>
  </si>
  <si>
    <t>Fencing</t>
  </si>
  <si>
    <t>Table AWR-2.  Other capital outlay costs for a new 10 MGD surface water treatment facility.</t>
  </si>
  <si>
    <t>Delivery infrastructure ($219,525/mile @ 1 mile)</t>
  </si>
  <si>
    <t>Purchased water cost (Purchase @ $2,300/acre foot)</t>
  </si>
  <si>
    <t>Table AWR-3.  Estimated debt service costs of acquisition of Rio Grande surface rights and new 10 MGD surface water treatment facility, 2007.</t>
  </si>
  <si>
    <t>Table AWR-4.  Acquisition of Rio Grande surface water rights estimated total annual project costs, water production, and per unit production costs, 2007.</t>
  </si>
  <si>
    <t>Operations and maintenance (45%)</t>
  </si>
  <si>
    <t>Power cost (10%)</t>
  </si>
  <si>
    <t>Table #GW Additional groundwater debt service costs, 2007.</t>
  </si>
  <si>
    <t>O&amp;M Wellfield</t>
  </si>
  <si>
    <t>O&amp;M Water Treatment Facility</t>
  </si>
  <si>
    <t>Million-Gallons-Per-Day</t>
  </si>
  <si>
    <t>Table #GW Additional groundwater projected initial costs, 2007.</t>
  </si>
  <si>
    <t>Wellfield</t>
  </si>
  <si>
    <t>Water Treatment Facility (32 MGD)</t>
  </si>
  <si>
    <t>Contracted water cost (Contract @ $1,000/acre foot)</t>
  </si>
  <si>
    <t>Contracted water cost (Urbanization @ $1,565/acre foot)</t>
  </si>
  <si>
    <t>Additional Groundwater</t>
  </si>
  <si>
    <t>Seawater Desalination</t>
  </si>
  <si>
    <t>Proposed Elevated Storage Tank and Infrastructure Improvements for the City of Elsa</t>
  </si>
  <si>
    <t>US$2010</t>
  </si>
  <si>
    <t xml:space="preserve">0.5 MG Elevated Storage </t>
  </si>
  <si>
    <t>Substandard Waterline Replacement</t>
  </si>
  <si>
    <t>Substandard Wastewater Line Replacement</t>
  </si>
  <si>
    <t>Rehad/New Lift Service Stations</t>
  </si>
  <si>
    <t>Proposed Water Line</t>
  </si>
  <si>
    <t>Proposed Wastewater Line</t>
  </si>
  <si>
    <t>Planning</t>
  </si>
  <si>
    <t>Design</t>
  </si>
  <si>
    <t>Environmental</t>
  </si>
  <si>
    <t xml:space="preserve">Surveying </t>
  </si>
  <si>
    <t>Geotechnical</t>
  </si>
  <si>
    <t>Testing</t>
  </si>
  <si>
    <t>Inspection</t>
  </si>
  <si>
    <t>GIS Asset Management Project</t>
  </si>
  <si>
    <t>Professional Engineering Fees</t>
  </si>
  <si>
    <t>Other Capital Outlay Subtotal</t>
  </si>
  <si>
    <t>PPt</t>
  </si>
  <si>
    <t>IPt</t>
  </si>
  <si>
    <t>TPt = IPt + PPt</t>
  </si>
  <si>
    <t>UFt</t>
  </si>
  <si>
    <t>Water Rights Purchase</t>
  </si>
  <si>
    <t>Water Rights Urbanization</t>
  </si>
  <si>
    <t>CONSTRUCTION CAPITAL COSTS</t>
  </si>
  <si>
    <t>Construction Capital Costs Subtotal</t>
  </si>
  <si>
    <t>OTHER CAPITAL OUTLAYS</t>
  </si>
  <si>
    <t>Land Acquisition &amp; Easements (5%)</t>
  </si>
  <si>
    <t>Environmental &amp; Arch. Studies &amp; Mitigation &amp; Permitting (1%)</t>
  </si>
  <si>
    <t>Other Capital Outlays Subtotal</t>
  </si>
  <si>
    <t>Engineering, Legal Costs, Financing, &amp; Contingencies (35%)</t>
  </si>
  <si>
    <t xml:space="preserve">Operation and Maintenance </t>
  </si>
  <si>
    <t>Resaca construction</t>
  </si>
  <si>
    <t>Delivery infrastructure @ 1 mile</t>
  </si>
  <si>
    <t>O&amp;M Resacas</t>
  </si>
  <si>
    <t>Table RR-1.  Resaca Restoration</t>
  </si>
  <si>
    <t>Table LLWW-3.  Laredo Low Water Weir total annual project costs, water production, and per unit production costs, 2007.  Water production approximated at 20,643 acre-feet per year (18.43 MGD).</t>
  </si>
  <si>
    <t>Table LLWW-2.  Laredo Low Water Weir debt service costs, 2007.</t>
  </si>
  <si>
    <t>NO ANNUAL COSTS</t>
  </si>
  <si>
    <t>Table LLWW-1.  Laredo Low Water Weir projected initial costs</t>
  </si>
  <si>
    <t>Table BMR-1.  Banco Morales Reservoir projected initial costs</t>
  </si>
  <si>
    <t>Table BMR-3.  Banco Morales Reservoir total annual project costs, water production, and per unit production costs</t>
  </si>
  <si>
    <t>Table BMR-2.  Banco Morales Reservoir debt service costs</t>
  </si>
  <si>
    <t>Table RR-2.  Resaca Restoration debt service costs, 2007.</t>
  </si>
  <si>
    <t>Table RR-3.  Resaca Restoration total annual project costs, water production, and per unit production costs, 2007.  Water production approximated at 20,643 acre-feet per year (18.43 MGD).</t>
  </si>
  <si>
    <t>Conveyance Improvements</t>
  </si>
  <si>
    <t>Irrigation On Farm Conservation</t>
  </si>
  <si>
    <t>Acquisition of Water Rights through Contract</t>
  </si>
  <si>
    <t>APPENDIX 7 - WMS Cost Analyses for the 2011 Region M Water Plan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</si>
</sst>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quot;$&quot;* #,##0_);_(&quot;$&quot;* \(#,##0\);_(&quot;$&quot;* &quot;-&quot;??_);_(@_)"/>
    <numFmt numFmtId="170" formatCode="&quot;$&quot;#,##0"/>
    <numFmt numFmtId="171" formatCode="&quot;$&quot;#,##0.00"/>
    <numFmt numFmtId="172" formatCode="#,##0.0"/>
    <numFmt numFmtId="173" formatCode="0.0"/>
    <numFmt numFmtId="174" formatCode="&quot;$&quot;#,##0.0_);[Red]\(&quot;$&quot;#,##0.0\)"/>
  </numFmts>
  <fonts count="41">
    <font>
      <sz val="10"/>
      <name val="Arial"/>
      <family val="0"/>
    </font>
    <font>
      <sz val="11"/>
      <name val="Times New Roman"/>
      <family val="1"/>
    </font>
    <font>
      <b/>
      <sz val="11"/>
      <name val="Times New Roman"/>
      <family val="1"/>
    </font>
    <font>
      <sz val="9"/>
      <color indexed="8"/>
      <name val="Times New Roman"/>
      <family val="1"/>
    </font>
    <font>
      <b/>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9"/>
      <color indexed="8"/>
      <name val="Times New Roman"/>
      <family val="2"/>
    </font>
    <font>
      <sz val="8"/>
      <name val="Arial"/>
      <family val="2"/>
    </font>
    <font>
      <i/>
      <sz val="11"/>
      <name val="Times New Roman"/>
      <family val="1"/>
    </font>
    <font>
      <b/>
      <sz val="11"/>
      <color indexed="8"/>
      <name val="Times New Roman"/>
      <family val="1"/>
    </font>
    <font>
      <i/>
      <sz val="11"/>
      <color indexed="8"/>
      <name val="Times New Roman"/>
      <family val="1"/>
    </font>
    <font>
      <b/>
      <sz val="10"/>
      <name val="Arial"/>
      <family val="2"/>
    </font>
    <font>
      <b/>
      <sz val="11"/>
      <name val="Arial"/>
      <family val="2"/>
    </font>
    <font>
      <sz val="12"/>
      <name val="Frutiger-Bold"/>
      <family val="0"/>
    </font>
    <font>
      <sz val="10"/>
      <name val="Frutiger-Bold"/>
      <family val="0"/>
    </font>
    <font>
      <sz val="12"/>
      <name val="Frutiger-Light"/>
      <family val="0"/>
    </font>
    <font>
      <sz val="12"/>
      <color indexed="8"/>
      <name val="Frutiger-Light"/>
      <family val="0"/>
    </font>
    <font>
      <b/>
      <sz val="12"/>
      <color indexed="8"/>
      <name val="Frutiger-Light"/>
      <family val="0"/>
    </font>
    <font>
      <sz val="11"/>
      <color indexed="8"/>
      <name val="Frutiger-Bold"/>
      <family val="0"/>
    </font>
    <font>
      <sz val="12"/>
      <color indexed="8"/>
      <name val="Frutiger-Bold"/>
      <family val="0"/>
    </font>
    <font>
      <sz val="9"/>
      <color indexed="8"/>
      <name val="Arial"/>
      <family val="2"/>
    </font>
    <font>
      <b/>
      <sz val="9"/>
      <color indexed="8"/>
      <name val="Arial"/>
      <family val="2"/>
    </font>
    <font>
      <sz val="9"/>
      <color indexed="8"/>
      <name val="Frutiger-Bold"/>
      <family val="0"/>
    </font>
    <font>
      <sz val="10"/>
      <color indexed="8"/>
      <name val="Frutiger-Light"/>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bottom style="medium"/>
    </border>
    <border>
      <left style="medium"/>
      <right/>
      <top/>
      <bottom style="thin"/>
    </border>
    <border>
      <left/>
      <right style="medium"/>
      <top/>
      <bottom style="thin"/>
    </border>
    <border>
      <left style="medium"/>
      <right/>
      <top style="thin"/>
      <bottom style="thin"/>
    </border>
    <border>
      <left/>
      <right/>
      <top style="thin"/>
      <bottom style="thin"/>
    </border>
    <border>
      <left style="medium"/>
      <right/>
      <top/>
      <bottom style="medium"/>
    </border>
    <border>
      <left style="medium"/>
      <right/>
      <top style="medium"/>
      <bottom/>
    </border>
    <border>
      <left/>
      <right/>
      <top style="medium"/>
      <bottom/>
    </border>
    <border>
      <left/>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14">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right"/>
    </xf>
    <xf numFmtId="0" fontId="3" fillId="0" borderId="0" xfId="0" applyFont="1" applyAlignment="1">
      <alignment horizontal="center"/>
    </xf>
    <xf numFmtId="0" fontId="3" fillId="0" borderId="0" xfId="0" applyFont="1" applyAlignment="1">
      <alignment/>
    </xf>
    <xf numFmtId="3" fontId="0" fillId="0" borderId="0" xfId="0" applyNumberFormat="1" applyAlignment="1">
      <alignment/>
    </xf>
    <xf numFmtId="3" fontId="3" fillId="0" borderId="0" xfId="0" applyNumberFormat="1" applyFont="1" applyAlignment="1">
      <alignment horizontal="right"/>
    </xf>
    <xf numFmtId="0" fontId="4" fillId="0" borderId="0" xfId="0" applyFont="1" applyAlignment="1">
      <alignment horizontal="right"/>
    </xf>
    <xf numFmtId="0" fontId="3" fillId="0" borderId="0" xfId="0" applyFont="1" applyAlignment="1">
      <alignment horizontal="left" indent="1"/>
    </xf>
    <xf numFmtId="0" fontId="3" fillId="0" borderId="10" xfId="0" applyFont="1" applyBorder="1" applyAlignment="1">
      <alignment/>
    </xf>
    <xf numFmtId="0" fontId="3" fillId="0" borderId="0" xfId="0" applyFont="1" applyAlignment="1">
      <alignment horizontal="right"/>
    </xf>
    <xf numFmtId="0" fontId="4" fillId="0" borderId="10" xfId="0" applyFont="1" applyBorder="1" applyAlignment="1">
      <alignment horizontal="right"/>
    </xf>
    <xf numFmtId="6" fontId="4" fillId="0" borderId="10" xfId="0" applyNumberFormat="1" applyFont="1" applyBorder="1" applyAlignment="1">
      <alignment horizontal="right"/>
    </xf>
    <xf numFmtId="0" fontId="3" fillId="0" borderId="10" xfId="0" applyFont="1" applyBorder="1" applyAlignment="1">
      <alignment horizontal="left" indent="1"/>
    </xf>
    <xf numFmtId="3" fontId="3" fillId="0" borderId="10" xfId="0" applyNumberFormat="1" applyFont="1" applyBorder="1" applyAlignment="1">
      <alignment horizontal="right"/>
    </xf>
    <xf numFmtId="0" fontId="10" fillId="0" borderId="0" xfId="60">
      <alignment/>
      <protection/>
    </xf>
    <xf numFmtId="0" fontId="3" fillId="0" borderId="11" xfId="60" applyFont="1" applyBorder="1" applyAlignment="1">
      <alignment horizontal="left"/>
      <protection/>
    </xf>
    <xf numFmtId="0" fontId="3" fillId="0" borderId="0" xfId="60" applyFont="1" applyBorder="1" applyAlignment="1">
      <alignment horizontal="left"/>
      <protection/>
    </xf>
    <xf numFmtId="0" fontId="3" fillId="0" borderId="12" xfId="60" applyFont="1" applyBorder="1" applyAlignment="1">
      <alignment horizontal="left"/>
      <protection/>
    </xf>
    <xf numFmtId="0" fontId="3" fillId="0" borderId="11" xfId="60" applyFont="1" applyBorder="1">
      <alignment/>
      <protection/>
    </xf>
    <xf numFmtId="0" fontId="4" fillId="0" borderId="0" xfId="60" applyFont="1" applyBorder="1">
      <alignment/>
      <protection/>
    </xf>
    <xf numFmtId="0" fontId="3" fillId="0" borderId="0" xfId="60" applyFont="1" applyBorder="1">
      <alignment/>
      <protection/>
    </xf>
    <xf numFmtId="0" fontId="3" fillId="0" borderId="12" xfId="60" applyFont="1" applyBorder="1">
      <alignment/>
      <protection/>
    </xf>
    <xf numFmtId="0" fontId="3" fillId="0" borderId="13" xfId="60" applyFont="1" applyBorder="1">
      <alignment/>
      <protection/>
    </xf>
    <xf numFmtId="0" fontId="3" fillId="0" borderId="14" xfId="60" applyFont="1" applyBorder="1">
      <alignment/>
      <protection/>
    </xf>
    <xf numFmtId="2" fontId="3" fillId="0" borderId="15" xfId="60" applyNumberFormat="1" applyFont="1" applyBorder="1">
      <alignment/>
      <protection/>
    </xf>
    <xf numFmtId="0" fontId="3" fillId="0" borderId="16" xfId="60" applyFont="1" applyBorder="1">
      <alignment/>
      <protection/>
    </xf>
    <xf numFmtId="2" fontId="3" fillId="0" borderId="17" xfId="60" applyNumberFormat="1" applyFont="1" applyBorder="1">
      <alignment/>
      <protection/>
    </xf>
    <xf numFmtId="1" fontId="3" fillId="0" borderId="17" xfId="60" applyNumberFormat="1" applyFont="1" applyBorder="1">
      <alignment/>
      <protection/>
    </xf>
    <xf numFmtId="168" fontId="3" fillId="0" borderId="17" xfId="60" applyNumberFormat="1" applyFont="1" applyBorder="1">
      <alignment/>
      <protection/>
    </xf>
    <xf numFmtId="0" fontId="3" fillId="0" borderId="17" xfId="60" applyFont="1" applyBorder="1">
      <alignment/>
      <protection/>
    </xf>
    <xf numFmtId="8" fontId="3" fillId="0" borderId="17" xfId="60" applyNumberFormat="1" applyFont="1" applyBorder="1">
      <alignment/>
      <protection/>
    </xf>
    <xf numFmtId="0" fontId="3" fillId="0" borderId="18" xfId="60" applyFont="1" applyBorder="1">
      <alignment/>
      <protection/>
    </xf>
    <xf numFmtId="0" fontId="3" fillId="0" borderId="19" xfId="60" applyFont="1" applyBorder="1">
      <alignment/>
      <protection/>
    </xf>
    <xf numFmtId="8" fontId="3" fillId="0" borderId="20" xfId="60" applyNumberFormat="1" applyFont="1" applyBorder="1">
      <alignment/>
      <protection/>
    </xf>
    <xf numFmtId="0" fontId="3" fillId="0" borderId="0" xfId="60" applyFont="1" applyBorder="1" applyAlignment="1">
      <alignment horizontal="center" wrapText="1"/>
      <protection/>
    </xf>
    <xf numFmtId="0" fontId="3" fillId="0" borderId="12" xfId="60" applyFont="1" applyBorder="1" applyAlignment="1">
      <alignment horizontal="center" wrapText="1"/>
      <protection/>
    </xf>
    <xf numFmtId="0" fontId="3" fillId="0" borderId="10" xfId="60" applyFont="1" applyBorder="1" applyAlignment="1">
      <alignment horizontal="center"/>
      <protection/>
    </xf>
    <xf numFmtId="0" fontId="3" fillId="0" borderId="21" xfId="60" applyFont="1" applyBorder="1" applyAlignment="1">
      <alignment horizontal="center"/>
      <protection/>
    </xf>
    <xf numFmtId="0" fontId="3" fillId="0" borderId="22" xfId="60" applyFont="1" applyBorder="1" applyAlignment="1">
      <alignment horizontal="center"/>
      <protection/>
    </xf>
    <xf numFmtId="0" fontId="3" fillId="0" borderId="19" xfId="60" applyFont="1" applyBorder="1" applyAlignment="1">
      <alignment horizontal="center"/>
      <protection/>
    </xf>
    <xf numFmtId="8" fontId="3" fillId="0" borderId="19" xfId="60" applyNumberFormat="1" applyFont="1" applyBorder="1">
      <alignment/>
      <protection/>
    </xf>
    <xf numFmtId="43" fontId="3" fillId="0" borderId="19" xfId="60" applyNumberFormat="1" applyFont="1" applyBorder="1">
      <alignment/>
      <protection/>
    </xf>
    <xf numFmtId="8" fontId="3" fillId="0" borderId="23" xfId="60" applyNumberFormat="1" applyFont="1" applyBorder="1">
      <alignment/>
      <protection/>
    </xf>
    <xf numFmtId="0" fontId="3" fillId="0" borderId="24" xfId="60" applyFont="1" applyBorder="1" applyAlignment="1">
      <alignment horizontal="center"/>
      <protection/>
    </xf>
    <xf numFmtId="0" fontId="3" fillId="0" borderId="25" xfId="60" applyFont="1" applyBorder="1" applyAlignment="1">
      <alignment horizontal="center"/>
      <protection/>
    </xf>
    <xf numFmtId="8" fontId="3" fillId="0" borderId="12" xfId="60" applyNumberFormat="1" applyFont="1" applyBorder="1">
      <alignment/>
      <protection/>
    </xf>
    <xf numFmtId="0" fontId="3" fillId="0" borderId="26" xfId="60" applyFont="1" applyBorder="1" applyAlignment="1">
      <alignment horizontal="center"/>
      <protection/>
    </xf>
    <xf numFmtId="0" fontId="3" fillId="0" borderId="10" xfId="60" applyFont="1" applyBorder="1">
      <alignment/>
      <protection/>
    </xf>
    <xf numFmtId="8" fontId="3" fillId="0" borderId="10" xfId="60" applyNumberFormat="1" applyFont="1" applyBorder="1">
      <alignment/>
      <protection/>
    </xf>
    <xf numFmtId="8" fontId="3" fillId="0" borderId="21" xfId="60" applyNumberFormat="1" applyFont="1" applyBorder="1">
      <alignment/>
      <protection/>
    </xf>
    <xf numFmtId="0" fontId="3" fillId="0" borderId="0" xfId="60" applyFont="1" applyFill="1" applyBorder="1" applyAlignment="1">
      <alignment horizontal="center"/>
      <protection/>
    </xf>
    <xf numFmtId="43" fontId="10" fillId="0" borderId="0" xfId="60" applyNumberFormat="1">
      <alignment/>
      <protection/>
    </xf>
    <xf numFmtId="0" fontId="10" fillId="0" borderId="0" xfId="57">
      <alignment/>
      <protection/>
    </xf>
    <xf numFmtId="0" fontId="3" fillId="0" borderId="27" xfId="57" applyFont="1" applyBorder="1" applyAlignment="1">
      <alignment horizontal="left"/>
      <protection/>
    </xf>
    <xf numFmtId="0" fontId="3" fillId="0" borderId="28" xfId="57" applyFont="1" applyBorder="1" applyAlignment="1">
      <alignment horizontal="left"/>
      <protection/>
    </xf>
    <xf numFmtId="0" fontId="3" fillId="0" borderId="29" xfId="57" applyFont="1" applyBorder="1" applyAlignment="1">
      <alignment horizontal="left"/>
      <protection/>
    </xf>
    <xf numFmtId="0" fontId="3" fillId="0" borderId="11" xfId="57" applyFont="1" applyBorder="1" applyAlignment="1">
      <alignment horizontal="left"/>
      <protection/>
    </xf>
    <xf numFmtId="0" fontId="3" fillId="0" borderId="0" xfId="57" applyFont="1" applyBorder="1" applyAlignment="1">
      <alignment horizontal="left"/>
      <protection/>
    </xf>
    <xf numFmtId="0" fontId="3" fillId="0" borderId="12" xfId="57" applyFont="1" applyBorder="1" applyAlignment="1">
      <alignment horizontal="left"/>
      <protection/>
    </xf>
    <xf numFmtId="0" fontId="3" fillId="0" borderId="11" xfId="57" applyFont="1" applyBorder="1">
      <alignment/>
      <protection/>
    </xf>
    <xf numFmtId="0" fontId="4" fillId="0" borderId="0" xfId="57" applyFont="1" applyBorder="1">
      <alignment/>
      <protection/>
    </xf>
    <xf numFmtId="0" fontId="3" fillId="0" borderId="0" xfId="57" applyFont="1" applyBorder="1">
      <alignment/>
      <protection/>
    </xf>
    <xf numFmtId="0" fontId="3" fillId="0" borderId="12" xfId="57" applyFont="1" applyBorder="1">
      <alignment/>
      <protection/>
    </xf>
    <xf numFmtId="0" fontId="3" fillId="0" borderId="13" xfId="57" applyFont="1" applyBorder="1">
      <alignment/>
      <protection/>
    </xf>
    <xf numFmtId="0" fontId="3" fillId="0" borderId="14" xfId="57" applyFont="1" applyBorder="1">
      <alignment/>
      <protection/>
    </xf>
    <xf numFmtId="2" fontId="3" fillId="0" borderId="15" xfId="57" applyNumberFormat="1" applyFont="1" applyBorder="1">
      <alignment/>
      <protection/>
    </xf>
    <xf numFmtId="0" fontId="3" fillId="0" borderId="16" xfId="57" applyFont="1" applyBorder="1">
      <alignment/>
      <protection/>
    </xf>
    <xf numFmtId="2" fontId="3" fillId="0" borderId="17" xfId="57" applyNumberFormat="1" applyFont="1" applyBorder="1">
      <alignment/>
      <protection/>
    </xf>
    <xf numFmtId="1" fontId="3" fillId="0" borderId="17" xfId="57" applyNumberFormat="1" applyFont="1" applyBorder="1">
      <alignment/>
      <protection/>
    </xf>
    <xf numFmtId="168" fontId="3" fillId="0" borderId="17" xfId="57" applyNumberFormat="1" applyFont="1" applyBorder="1">
      <alignment/>
      <protection/>
    </xf>
    <xf numFmtId="0" fontId="3" fillId="0" borderId="17" xfId="57" applyFont="1" applyBorder="1">
      <alignment/>
      <protection/>
    </xf>
    <xf numFmtId="8" fontId="3" fillId="0" borderId="17" xfId="57" applyNumberFormat="1" applyFont="1" applyBorder="1">
      <alignment/>
      <protection/>
    </xf>
    <xf numFmtId="0" fontId="3" fillId="0" borderId="18" xfId="57" applyFont="1" applyBorder="1">
      <alignment/>
      <protection/>
    </xf>
    <xf numFmtId="0" fontId="3" fillId="0" borderId="19" xfId="57" applyFont="1" applyBorder="1">
      <alignment/>
      <protection/>
    </xf>
    <xf numFmtId="8" fontId="3" fillId="0" borderId="20" xfId="57" applyNumberFormat="1" applyFont="1" applyBorder="1">
      <alignment/>
      <protection/>
    </xf>
    <xf numFmtId="0" fontId="3" fillId="0" borderId="11" xfId="57" applyFont="1" applyBorder="1" applyAlignment="1">
      <alignment horizontal="center" wrapText="1"/>
      <protection/>
    </xf>
    <xf numFmtId="0" fontId="3" fillId="0" borderId="0" xfId="57" applyFont="1" applyBorder="1" applyAlignment="1">
      <alignment horizontal="center" wrapText="1"/>
      <protection/>
    </xf>
    <xf numFmtId="0" fontId="3" fillId="0" borderId="12" xfId="57" applyFont="1" applyBorder="1" applyAlignment="1">
      <alignment horizontal="center" wrapText="1"/>
      <protection/>
    </xf>
    <xf numFmtId="0" fontId="3" fillId="0" borderId="26" xfId="57" applyFont="1" applyBorder="1" applyAlignment="1">
      <alignment horizontal="center" wrapText="1"/>
      <protection/>
    </xf>
    <xf numFmtId="0" fontId="3" fillId="0" borderId="10" xfId="57" applyFont="1" applyBorder="1" applyAlignment="1">
      <alignment horizontal="center" wrapText="1"/>
      <protection/>
    </xf>
    <xf numFmtId="0" fontId="3" fillId="0" borderId="10" xfId="57" applyFont="1" applyBorder="1" applyAlignment="1">
      <alignment horizontal="center"/>
      <protection/>
    </xf>
    <xf numFmtId="0" fontId="3" fillId="0" borderId="21" xfId="57" applyFont="1" applyBorder="1" applyAlignment="1">
      <alignment horizontal="center"/>
      <protection/>
    </xf>
    <xf numFmtId="0" fontId="3" fillId="0" borderId="22" xfId="57" applyFont="1" applyBorder="1" applyAlignment="1">
      <alignment horizontal="center"/>
      <protection/>
    </xf>
    <xf numFmtId="0" fontId="3" fillId="0" borderId="19" xfId="57" applyFont="1" applyBorder="1" applyAlignment="1">
      <alignment horizontal="center"/>
      <protection/>
    </xf>
    <xf numFmtId="8" fontId="3" fillId="0" borderId="19" xfId="57" applyNumberFormat="1" applyFont="1" applyBorder="1">
      <alignment/>
      <protection/>
    </xf>
    <xf numFmtId="43" fontId="3" fillId="0" borderId="19" xfId="57" applyNumberFormat="1" applyFont="1" applyBorder="1">
      <alignment/>
      <protection/>
    </xf>
    <xf numFmtId="8" fontId="3" fillId="0" borderId="23" xfId="57" applyNumberFormat="1" applyFont="1" applyBorder="1">
      <alignment/>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8" fontId="3" fillId="0" borderId="12" xfId="57" applyNumberFormat="1" applyFont="1" applyBorder="1">
      <alignment/>
      <protection/>
    </xf>
    <xf numFmtId="0" fontId="3" fillId="0" borderId="26" xfId="57" applyFont="1" applyBorder="1" applyAlignment="1">
      <alignment horizontal="center"/>
      <protection/>
    </xf>
    <xf numFmtId="0" fontId="3" fillId="0" borderId="10" xfId="57" applyFont="1" applyBorder="1">
      <alignment/>
      <protection/>
    </xf>
    <xf numFmtId="8" fontId="3" fillId="0" borderId="10" xfId="57" applyNumberFormat="1" applyFont="1" applyBorder="1">
      <alignment/>
      <protection/>
    </xf>
    <xf numFmtId="8" fontId="3" fillId="0" borderId="21" xfId="57" applyNumberFormat="1" applyFont="1" applyBorder="1">
      <alignment/>
      <protection/>
    </xf>
    <xf numFmtId="0" fontId="3" fillId="0" borderId="0" xfId="57" applyFont="1" applyFill="1" applyBorder="1" applyAlignment="1">
      <alignment horizontal="center"/>
      <protection/>
    </xf>
    <xf numFmtId="43" fontId="10" fillId="0" borderId="0" xfId="57" applyNumberFormat="1">
      <alignment/>
      <protection/>
    </xf>
    <xf numFmtId="8" fontId="3" fillId="0" borderId="0" xfId="0" applyNumberFormat="1" applyFont="1" applyAlignment="1">
      <alignment horizontal="right"/>
    </xf>
    <xf numFmtId="0" fontId="10" fillId="0" borderId="0" xfId="58">
      <alignment/>
      <protection/>
    </xf>
    <xf numFmtId="0" fontId="3" fillId="0" borderId="27" xfId="58" applyFont="1" applyBorder="1" applyAlignment="1">
      <alignment horizontal="left"/>
      <protection/>
    </xf>
    <xf numFmtId="0" fontId="3" fillId="0" borderId="28" xfId="58" applyFont="1" applyBorder="1" applyAlignment="1">
      <alignment horizontal="left"/>
      <protection/>
    </xf>
    <xf numFmtId="0" fontId="3" fillId="0" borderId="29" xfId="58" applyFont="1" applyBorder="1" applyAlignment="1">
      <alignment horizontal="left"/>
      <protection/>
    </xf>
    <xf numFmtId="0" fontId="3" fillId="0" borderId="11" xfId="58" applyFont="1" applyBorder="1" applyAlignment="1">
      <alignment horizontal="left"/>
      <protection/>
    </xf>
    <xf numFmtId="0" fontId="3" fillId="0" borderId="0" xfId="58" applyFont="1" applyBorder="1" applyAlignment="1">
      <alignment horizontal="left"/>
      <protection/>
    </xf>
    <xf numFmtId="0" fontId="3" fillId="0" borderId="12" xfId="58" applyFont="1" applyBorder="1" applyAlignment="1">
      <alignment horizontal="left"/>
      <protection/>
    </xf>
    <xf numFmtId="0" fontId="3" fillId="0" borderId="11" xfId="58" applyFont="1" applyBorder="1">
      <alignment/>
      <protection/>
    </xf>
    <xf numFmtId="0" fontId="4" fillId="0" borderId="0" xfId="58" applyFont="1" applyBorder="1">
      <alignment/>
      <protection/>
    </xf>
    <xf numFmtId="0" fontId="3" fillId="0" borderId="0" xfId="58" applyFont="1" applyBorder="1">
      <alignment/>
      <protection/>
    </xf>
    <xf numFmtId="0" fontId="3" fillId="0" borderId="12" xfId="58" applyFont="1" applyBorder="1">
      <alignment/>
      <protection/>
    </xf>
    <xf numFmtId="0" fontId="3" fillId="0" borderId="13" xfId="58" applyFont="1" applyBorder="1">
      <alignment/>
      <protection/>
    </xf>
    <xf numFmtId="0" fontId="3" fillId="0" borderId="14" xfId="58" applyFont="1" applyBorder="1">
      <alignment/>
      <protection/>
    </xf>
    <xf numFmtId="2" fontId="3" fillId="0" borderId="15" xfId="58" applyNumberFormat="1" applyFont="1" applyBorder="1">
      <alignment/>
      <protection/>
    </xf>
    <xf numFmtId="0" fontId="3" fillId="0" borderId="16" xfId="58" applyFont="1" applyBorder="1">
      <alignment/>
      <protection/>
    </xf>
    <xf numFmtId="2" fontId="3" fillId="0" borderId="17" xfId="58" applyNumberFormat="1" applyFont="1" applyBorder="1">
      <alignment/>
      <protection/>
    </xf>
    <xf numFmtId="1" fontId="3" fillId="0" borderId="17" xfId="58" applyNumberFormat="1" applyFont="1" applyBorder="1">
      <alignment/>
      <protection/>
    </xf>
    <xf numFmtId="168" fontId="3" fillId="0" borderId="17" xfId="58" applyNumberFormat="1" applyFont="1" applyBorder="1">
      <alignment/>
      <protection/>
    </xf>
    <xf numFmtId="0" fontId="3" fillId="0" borderId="17" xfId="58" applyFont="1" applyBorder="1">
      <alignment/>
      <protection/>
    </xf>
    <xf numFmtId="8" fontId="3" fillId="0" borderId="17" xfId="58" applyNumberFormat="1" applyFont="1" applyBorder="1">
      <alignment/>
      <protection/>
    </xf>
    <xf numFmtId="0" fontId="3" fillId="0" borderId="18" xfId="58" applyFont="1" applyBorder="1">
      <alignment/>
      <protection/>
    </xf>
    <xf numFmtId="0" fontId="3" fillId="0" borderId="19" xfId="58" applyFont="1" applyBorder="1">
      <alignment/>
      <protection/>
    </xf>
    <xf numFmtId="8" fontId="3" fillId="0" borderId="20" xfId="58" applyNumberFormat="1" applyFont="1" applyBorder="1">
      <alignment/>
      <protection/>
    </xf>
    <xf numFmtId="0" fontId="3" fillId="0" borderId="11" xfId="58" applyFont="1" applyBorder="1" applyAlignment="1">
      <alignment horizontal="center" wrapText="1"/>
      <protection/>
    </xf>
    <xf numFmtId="0" fontId="3" fillId="0" borderId="0" xfId="58" applyFont="1" applyBorder="1" applyAlignment="1">
      <alignment horizontal="center" wrapText="1"/>
      <protection/>
    </xf>
    <xf numFmtId="0" fontId="3" fillId="0" borderId="12" xfId="58" applyFont="1" applyBorder="1" applyAlignment="1">
      <alignment horizontal="center" wrapText="1"/>
      <protection/>
    </xf>
    <xf numFmtId="0" fontId="3" fillId="0" borderId="26" xfId="58" applyFont="1" applyBorder="1" applyAlignment="1">
      <alignment horizontal="center" wrapText="1"/>
      <protection/>
    </xf>
    <xf numFmtId="0" fontId="3" fillId="0" borderId="10" xfId="58" applyFont="1" applyBorder="1" applyAlignment="1">
      <alignment horizontal="center" wrapText="1"/>
      <protection/>
    </xf>
    <xf numFmtId="0" fontId="3" fillId="0" borderId="10" xfId="58" applyFont="1" applyBorder="1" applyAlignment="1">
      <alignment horizontal="center"/>
      <protection/>
    </xf>
    <xf numFmtId="0" fontId="3" fillId="0" borderId="21" xfId="58" applyFont="1" applyBorder="1" applyAlignment="1">
      <alignment horizontal="center"/>
      <protection/>
    </xf>
    <xf numFmtId="0" fontId="3" fillId="0" borderId="22" xfId="58" applyFont="1" applyBorder="1" applyAlignment="1">
      <alignment horizontal="center"/>
      <protection/>
    </xf>
    <xf numFmtId="0" fontId="3" fillId="0" borderId="19" xfId="58" applyFont="1" applyBorder="1" applyAlignment="1">
      <alignment horizontal="center"/>
      <protection/>
    </xf>
    <xf numFmtId="8" fontId="3" fillId="0" borderId="19" xfId="58" applyNumberFormat="1" applyFont="1" applyBorder="1">
      <alignment/>
      <protection/>
    </xf>
    <xf numFmtId="43" fontId="3" fillId="0" borderId="19" xfId="58" applyNumberFormat="1" applyFont="1" applyBorder="1">
      <alignment/>
      <protection/>
    </xf>
    <xf numFmtId="8" fontId="3" fillId="0" borderId="23" xfId="58" applyNumberFormat="1" applyFont="1" applyBorder="1">
      <alignment/>
      <protection/>
    </xf>
    <xf numFmtId="0" fontId="3" fillId="0" borderId="24" xfId="58" applyFont="1" applyBorder="1" applyAlignment="1">
      <alignment horizontal="center"/>
      <protection/>
    </xf>
    <xf numFmtId="0" fontId="3" fillId="0" borderId="25" xfId="58" applyFont="1" applyBorder="1" applyAlignment="1">
      <alignment horizontal="center"/>
      <protection/>
    </xf>
    <xf numFmtId="8" fontId="3" fillId="0" borderId="12" xfId="58" applyNumberFormat="1" applyFont="1" applyBorder="1">
      <alignment/>
      <protection/>
    </xf>
    <xf numFmtId="0" fontId="3" fillId="0" borderId="26" xfId="58" applyFont="1" applyBorder="1" applyAlignment="1">
      <alignment horizontal="center"/>
      <protection/>
    </xf>
    <xf numFmtId="0" fontId="3" fillId="0" borderId="10" xfId="58" applyFont="1" applyBorder="1">
      <alignment/>
      <protection/>
    </xf>
    <xf numFmtId="8" fontId="3" fillId="0" borderId="10" xfId="58" applyNumberFormat="1" applyFont="1" applyBorder="1">
      <alignment/>
      <protection/>
    </xf>
    <xf numFmtId="8" fontId="3" fillId="0" borderId="21" xfId="58" applyNumberFormat="1" applyFont="1" applyBorder="1">
      <alignment/>
      <protection/>
    </xf>
    <xf numFmtId="43" fontId="10" fillId="0" borderId="0" xfId="58" applyNumberFormat="1">
      <alignment/>
      <protection/>
    </xf>
    <xf numFmtId="0" fontId="3" fillId="0" borderId="11" xfId="56" applyFont="1" applyBorder="1" applyAlignment="1">
      <alignment horizontal="left"/>
      <protection/>
    </xf>
    <xf numFmtId="0" fontId="3" fillId="0" borderId="0" xfId="56" applyFont="1" applyBorder="1" applyAlignment="1">
      <alignment horizontal="left"/>
      <protection/>
    </xf>
    <xf numFmtId="0" fontId="3" fillId="0" borderId="12" xfId="56" applyFont="1" applyBorder="1" applyAlignment="1">
      <alignment horizontal="left"/>
      <protection/>
    </xf>
    <xf numFmtId="0" fontId="3" fillId="0" borderId="11" xfId="56" applyFont="1" applyBorder="1">
      <alignment/>
      <protection/>
    </xf>
    <xf numFmtId="0" fontId="4" fillId="0" borderId="0" xfId="56" applyFont="1" applyBorder="1">
      <alignment/>
      <protection/>
    </xf>
    <xf numFmtId="0" fontId="3" fillId="0" borderId="0" xfId="56" applyFont="1" applyBorder="1">
      <alignment/>
      <protection/>
    </xf>
    <xf numFmtId="0" fontId="3" fillId="0" borderId="12" xfId="56" applyFont="1" applyBorder="1">
      <alignment/>
      <protection/>
    </xf>
    <xf numFmtId="0" fontId="3" fillId="0" borderId="13" xfId="56" applyFont="1" applyBorder="1">
      <alignment/>
      <protection/>
    </xf>
    <xf numFmtId="0" fontId="3" fillId="0" borderId="14" xfId="56" applyFont="1" applyBorder="1">
      <alignment/>
      <protection/>
    </xf>
    <xf numFmtId="2" fontId="3" fillId="0" borderId="15" xfId="56" applyNumberFormat="1" applyFont="1" applyBorder="1">
      <alignment/>
      <protection/>
    </xf>
    <xf numFmtId="0" fontId="3" fillId="0" borderId="16" xfId="56" applyFont="1" applyBorder="1">
      <alignment/>
      <protection/>
    </xf>
    <xf numFmtId="2" fontId="3" fillId="0" borderId="17" xfId="56" applyNumberFormat="1" applyFont="1" applyBorder="1">
      <alignment/>
      <protection/>
    </xf>
    <xf numFmtId="1" fontId="3" fillId="0" borderId="17" xfId="56" applyNumberFormat="1" applyFont="1" applyBorder="1">
      <alignment/>
      <protection/>
    </xf>
    <xf numFmtId="168" fontId="3" fillId="0" borderId="17" xfId="56" applyNumberFormat="1" applyFont="1" applyBorder="1">
      <alignment/>
      <protection/>
    </xf>
    <xf numFmtId="0" fontId="3" fillId="0" borderId="17" xfId="56" applyFont="1" applyBorder="1">
      <alignment/>
      <protection/>
    </xf>
    <xf numFmtId="8" fontId="3" fillId="0" borderId="17" xfId="56" applyNumberFormat="1" applyFont="1" applyBorder="1">
      <alignment/>
      <protection/>
    </xf>
    <xf numFmtId="0" fontId="3" fillId="0" borderId="18" xfId="56" applyFont="1" applyBorder="1">
      <alignment/>
      <protection/>
    </xf>
    <xf numFmtId="0" fontId="3" fillId="0" borderId="19" xfId="56" applyFont="1" applyBorder="1">
      <alignment/>
      <protection/>
    </xf>
    <xf numFmtId="8" fontId="3" fillId="0" borderId="20" xfId="56" applyNumberFormat="1" applyFont="1" applyBorder="1">
      <alignment/>
      <protection/>
    </xf>
    <xf numFmtId="0" fontId="3" fillId="0" borderId="0" xfId="56" applyFont="1" applyBorder="1" applyAlignment="1">
      <alignment horizontal="center" wrapText="1"/>
      <protection/>
    </xf>
    <xf numFmtId="0" fontId="3" fillId="0" borderId="12" xfId="56" applyFont="1" applyBorder="1" applyAlignment="1">
      <alignment horizontal="center" wrapText="1"/>
      <protection/>
    </xf>
    <xf numFmtId="0" fontId="3" fillId="0" borderId="10" xfId="56" applyFont="1" applyBorder="1" applyAlignment="1">
      <alignment horizontal="center"/>
      <protection/>
    </xf>
    <xf numFmtId="0" fontId="3" fillId="0" borderId="21" xfId="56" applyFont="1" applyBorder="1" applyAlignment="1">
      <alignment horizontal="center"/>
      <protection/>
    </xf>
    <xf numFmtId="0" fontId="3" fillId="0" borderId="22" xfId="56" applyFont="1" applyBorder="1" applyAlignment="1">
      <alignment horizontal="center"/>
      <protection/>
    </xf>
    <xf numFmtId="0" fontId="3" fillId="0" borderId="19" xfId="56" applyFont="1" applyBorder="1" applyAlignment="1">
      <alignment horizontal="center"/>
      <protection/>
    </xf>
    <xf numFmtId="8" fontId="3" fillId="0" borderId="19" xfId="56" applyNumberFormat="1" applyFont="1" applyBorder="1">
      <alignment/>
      <protection/>
    </xf>
    <xf numFmtId="43" fontId="3" fillId="0" borderId="19" xfId="56" applyNumberFormat="1" applyFont="1" applyBorder="1">
      <alignment/>
      <protection/>
    </xf>
    <xf numFmtId="8" fontId="3" fillId="0" borderId="23" xfId="56" applyNumberFormat="1" applyFont="1" applyBorder="1">
      <alignment/>
      <protection/>
    </xf>
    <xf numFmtId="0" fontId="3" fillId="0" borderId="24" xfId="56" applyFont="1" applyBorder="1" applyAlignment="1">
      <alignment horizontal="center"/>
      <protection/>
    </xf>
    <xf numFmtId="0" fontId="3" fillId="0" borderId="25" xfId="56" applyFont="1" applyBorder="1" applyAlignment="1">
      <alignment horizontal="center"/>
      <protection/>
    </xf>
    <xf numFmtId="8" fontId="3" fillId="0" borderId="12" xfId="56" applyNumberFormat="1" applyFont="1" applyBorder="1">
      <alignment/>
      <protection/>
    </xf>
    <xf numFmtId="0" fontId="3" fillId="0" borderId="26" xfId="56" applyFont="1" applyBorder="1" applyAlignment="1">
      <alignment horizontal="center"/>
      <protection/>
    </xf>
    <xf numFmtId="0" fontId="3" fillId="0" borderId="10" xfId="56" applyFont="1" applyBorder="1">
      <alignment/>
      <protection/>
    </xf>
    <xf numFmtId="8" fontId="3" fillId="0" borderId="10" xfId="56" applyNumberFormat="1" applyFont="1" applyBorder="1">
      <alignment/>
      <protection/>
    </xf>
    <xf numFmtId="8" fontId="3" fillId="0" borderId="21" xfId="56" applyNumberFormat="1" applyFont="1" applyBorder="1">
      <alignment/>
      <protection/>
    </xf>
    <xf numFmtId="0" fontId="10" fillId="0" borderId="0" xfId="56">
      <alignment/>
      <protection/>
    </xf>
    <xf numFmtId="0" fontId="3" fillId="0" borderId="0" xfId="56" applyFont="1" applyFill="1" applyBorder="1" applyAlignment="1">
      <alignment horizontal="center"/>
      <protection/>
    </xf>
    <xf numFmtId="43" fontId="10" fillId="0" borderId="0" xfId="56" applyNumberFormat="1">
      <alignment/>
      <protection/>
    </xf>
    <xf numFmtId="0" fontId="10" fillId="0" borderId="10" xfId="0" applyFont="1" applyBorder="1" applyAlignment="1">
      <alignment horizontal="center"/>
    </xf>
    <xf numFmtId="0" fontId="10" fillId="0" borderId="0" xfId="0" applyFont="1" applyAlignment="1">
      <alignment horizontal="center"/>
    </xf>
    <xf numFmtId="0" fontId="10" fillId="0" borderId="0" xfId="0" applyFont="1" applyAlignment="1">
      <alignment/>
    </xf>
    <xf numFmtId="3" fontId="10" fillId="0" borderId="0" xfId="0" applyNumberFormat="1" applyFont="1" applyAlignment="1">
      <alignment horizontal="right"/>
    </xf>
    <xf numFmtId="0" fontId="26" fillId="0" borderId="0" xfId="0" applyFont="1" applyAlignment="1">
      <alignment horizontal="right"/>
    </xf>
    <xf numFmtId="0" fontId="10" fillId="0" borderId="10" xfId="0" applyFont="1" applyBorder="1" applyAlignment="1">
      <alignment/>
    </xf>
    <xf numFmtId="0" fontId="10" fillId="0" borderId="10" xfId="0" applyFont="1" applyBorder="1" applyAlignment="1">
      <alignment horizontal="right"/>
    </xf>
    <xf numFmtId="0" fontId="10" fillId="0" borderId="0" xfId="0" applyFont="1" applyAlignment="1">
      <alignment horizontal="left" indent="1"/>
    </xf>
    <xf numFmtId="0" fontId="10" fillId="0" borderId="0" xfId="0" applyFont="1" applyAlignment="1">
      <alignment horizontal="right"/>
    </xf>
    <xf numFmtId="0" fontId="26" fillId="0" borderId="10" xfId="0" applyFont="1" applyBorder="1" applyAlignment="1">
      <alignment horizontal="right"/>
    </xf>
    <xf numFmtId="0" fontId="10" fillId="0" borderId="10" xfId="0" applyFont="1" applyBorder="1" applyAlignment="1">
      <alignment horizontal="left" indent="1"/>
    </xf>
    <xf numFmtId="3" fontId="10" fillId="0" borderId="10" xfId="0" applyNumberFormat="1" applyFont="1" applyBorder="1" applyAlignment="1">
      <alignment horizontal="right"/>
    </xf>
    <xf numFmtId="0" fontId="3" fillId="0" borderId="11" xfId="55" applyFont="1" applyBorder="1" applyAlignment="1">
      <alignment horizontal="left"/>
      <protection/>
    </xf>
    <xf numFmtId="0" fontId="3" fillId="0" borderId="0" xfId="55" applyFont="1" applyBorder="1" applyAlignment="1">
      <alignment horizontal="left"/>
      <protection/>
    </xf>
    <xf numFmtId="0" fontId="3" fillId="0" borderId="12" xfId="55" applyFont="1" applyBorder="1" applyAlignment="1">
      <alignment horizontal="left"/>
      <protection/>
    </xf>
    <xf numFmtId="0" fontId="3" fillId="0" borderId="11" xfId="55" applyFont="1" applyBorder="1">
      <alignment/>
      <protection/>
    </xf>
    <xf numFmtId="0" fontId="4" fillId="0" borderId="0" xfId="55" applyFont="1" applyBorder="1">
      <alignment/>
      <protection/>
    </xf>
    <xf numFmtId="0" fontId="3" fillId="0" borderId="0" xfId="55" applyFont="1" applyBorder="1">
      <alignment/>
      <protection/>
    </xf>
    <xf numFmtId="0" fontId="3" fillId="0" borderId="12" xfId="55" applyFont="1" applyBorder="1">
      <alignment/>
      <protection/>
    </xf>
    <xf numFmtId="0" fontId="3" fillId="0" borderId="13" xfId="55" applyFont="1" applyBorder="1">
      <alignment/>
      <protection/>
    </xf>
    <xf numFmtId="0" fontId="3" fillId="0" borderId="14" xfId="55" applyFont="1" applyBorder="1">
      <alignment/>
      <protection/>
    </xf>
    <xf numFmtId="2" fontId="3" fillId="0" borderId="15" xfId="55" applyNumberFormat="1" applyFont="1" applyBorder="1">
      <alignment/>
      <protection/>
    </xf>
    <xf numFmtId="0" fontId="3" fillId="0" borderId="16" xfId="55" applyFont="1" applyBorder="1">
      <alignment/>
      <protection/>
    </xf>
    <xf numFmtId="2" fontId="3" fillId="0" borderId="17" xfId="55" applyNumberFormat="1" applyFont="1" applyBorder="1">
      <alignment/>
      <protection/>
    </xf>
    <xf numFmtId="1" fontId="3" fillId="0" borderId="17" xfId="55" applyNumberFormat="1" applyFont="1" applyBorder="1">
      <alignment/>
      <protection/>
    </xf>
    <xf numFmtId="0" fontId="3" fillId="0" borderId="17" xfId="55" applyFont="1" applyBorder="1">
      <alignment/>
      <protection/>
    </xf>
    <xf numFmtId="8" fontId="3" fillId="0" borderId="17" xfId="55" applyNumberFormat="1" applyFont="1" applyBorder="1">
      <alignment/>
      <protection/>
    </xf>
    <xf numFmtId="0" fontId="3" fillId="0" borderId="18" xfId="55" applyFont="1" applyBorder="1">
      <alignment/>
      <protection/>
    </xf>
    <xf numFmtId="0" fontId="3" fillId="0" borderId="19" xfId="55" applyFont="1" applyBorder="1">
      <alignment/>
      <protection/>
    </xf>
    <xf numFmtId="8" fontId="3" fillId="0" borderId="20" xfId="55" applyNumberFormat="1" applyFont="1" applyBorder="1">
      <alignment/>
      <protection/>
    </xf>
    <xf numFmtId="0" fontId="3" fillId="0" borderId="0" xfId="55" applyFont="1" applyBorder="1" applyAlignment="1">
      <alignment horizontal="center" wrapText="1"/>
      <protection/>
    </xf>
    <xf numFmtId="0" fontId="3" fillId="0" borderId="12" xfId="55" applyFont="1" applyBorder="1" applyAlignment="1">
      <alignment horizontal="center" wrapText="1"/>
      <protection/>
    </xf>
    <xf numFmtId="0" fontId="3" fillId="0" borderId="10" xfId="55" applyFont="1" applyBorder="1" applyAlignment="1">
      <alignment horizontal="center"/>
      <protection/>
    </xf>
    <xf numFmtId="0" fontId="3" fillId="0" borderId="21" xfId="55" applyFont="1" applyBorder="1" applyAlignment="1">
      <alignment horizontal="center"/>
      <protection/>
    </xf>
    <xf numFmtId="0" fontId="3" fillId="0" borderId="22" xfId="55" applyFont="1" applyBorder="1" applyAlignment="1">
      <alignment horizontal="center"/>
      <protection/>
    </xf>
    <xf numFmtId="0" fontId="3" fillId="0" borderId="19" xfId="55" applyFont="1" applyBorder="1" applyAlignment="1">
      <alignment horizontal="center"/>
      <protection/>
    </xf>
    <xf numFmtId="8" fontId="3" fillId="0" borderId="19" xfId="55" applyNumberFormat="1" applyFont="1" applyBorder="1">
      <alignment/>
      <protection/>
    </xf>
    <xf numFmtId="8" fontId="3" fillId="0" borderId="23" xfId="55" applyNumberFormat="1" applyFont="1" applyBorder="1">
      <alignment/>
      <protection/>
    </xf>
    <xf numFmtId="0" fontId="3" fillId="0" borderId="24" xfId="55" applyFont="1" applyBorder="1" applyAlignment="1">
      <alignment horizontal="center"/>
      <protection/>
    </xf>
    <xf numFmtId="0" fontId="3" fillId="0" borderId="25" xfId="55" applyFont="1" applyBorder="1" applyAlignment="1">
      <alignment horizontal="center"/>
      <protection/>
    </xf>
    <xf numFmtId="8" fontId="3" fillId="0" borderId="12" xfId="55" applyNumberFormat="1" applyFont="1" applyBorder="1">
      <alignment/>
      <protection/>
    </xf>
    <xf numFmtId="0" fontId="3" fillId="0" borderId="26" xfId="55" applyFont="1" applyBorder="1" applyAlignment="1">
      <alignment horizontal="center"/>
      <protection/>
    </xf>
    <xf numFmtId="0" fontId="3" fillId="0" borderId="10" xfId="55" applyFont="1" applyBorder="1">
      <alignment/>
      <protection/>
    </xf>
    <xf numFmtId="8" fontId="3" fillId="0" borderId="10" xfId="55" applyNumberFormat="1" applyFont="1" applyBorder="1">
      <alignment/>
      <protection/>
    </xf>
    <xf numFmtId="8" fontId="3" fillId="0" borderId="21" xfId="55" applyNumberFormat="1" applyFont="1" applyBorder="1">
      <alignment/>
      <protection/>
    </xf>
    <xf numFmtId="0" fontId="10" fillId="0" borderId="0" xfId="55">
      <alignment/>
      <protection/>
    </xf>
    <xf numFmtId="0" fontId="3" fillId="0" borderId="0" xfId="55" applyFont="1" applyFill="1" applyBorder="1" applyAlignment="1">
      <alignment horizontal="center"/>
      <protection/>
    </xf>
    <xf numFmtId="0" fontId="10" fillId="0" borderId="0" xfId="59">
      <alignment/>
      <protection/>
    </xf>
    <xf numFmtId="0" fontId="3" fillId="0" borderId="10" xfId="59" applyFont="1" applyBorder="1" applyAlignment="1">
      <alignment horizontal="center"/>
      <protection/>
    </xf>
    <xf numFmtId="0" fontId="3" fillId="0" borderId="0" xfId="59" applyFont="1" applyAlignment="1">
      <alignment horizontal="center"/>
      <protection/>
    </xf>
    <xf numFmtId="0" fontId="3" fillId="0" borderId="0" xfId="59" applyFont="1" applyAlignment="1">
      <alignment horizontal="left" indent="1"/>
      <protection/>
    </xf>
    <xf numFmtId="0" fontId="3" fillId="0" borderId="11" xfId="59" applyFont="1" applyBorder="1" applyAlignment="1">
      <alignment horizontal="left"/>
      <protection/>
    </xf>
    <xf numFmtId="0" fontId="3" fillId="0" borderId="0" xfId="59" applyFont="1" applyBorder="1" applyAlignment="1">
      <alignment horizontal="left"/>
      <protection/>
    </xf>
    <xf numFmtId="0" fontId="3" fillId="0" borderId="12" xfId="59" applyFont="1" applyBorder="1" applyAlignment="1">
      <alignment horizontal="left"/>
      <protection/>
    </xf>
    <xf numFmtId="0" fontId="3" fillId="0" borderId="10" xfId="59" applyFont="1" applyBorder="1">
      <alignment/>
      <protection/>
    </xf>
    <xf numFmtId="0" fontId="3" fillId="0" borderId="11" xfId="59" applyFont="1" applyBorder="1">
      <alignment/>
      <protection/>
    </xf>
    <xf numFmtId="0" fontId="4" fillId="0" borderId="0" xfId="59" applyFont="1" applyBorder="1">
      <alignment/>
      <protection/>
    </xf>
    <xf numFmtId="0" fontId="3" fillId="0" borderId="0" xfId="59" applyFont="1" applyBorder="1">
      <alignment/>
      <protection/>
    </xf>
    <xf numFmtId="0" fontId="3" fillId="0" borderId="12" xfId="59" applyFont="1" applyBorder="1">
      <alignment/>
      <protection/>
    </xf>
    <xf numFmtId="0" fontId="3" fillId="0" borderId="13" xfId="59" applyFont="1" applyBorder="1">
      <alignment/>
      <protection/>
    </xf>
    <xf numFmtId="0" fontId="3" fillId="0" borderId="14" xfId="59" applyFont="1" applyBorder="1">
      <alignment/>
      <protection/>
    </xf>
    <xf numFmtId="2" fontId="3" fillId="0" borderId="15" xfId="59" applyNumberFormat="1" applyFont="1" applyBorder="1">
      <alignment/>
      <protection/>
    </xf>
    <xf numFmtId="0" fontId="3" fillId="0" borderId="16" xfId="59" applyFont="1" applyBorder="1">
      <alignment/>
      <protection/>
    </xf>
    <xf numFmtId="2" fontId="3" fillId="0" borderId="17" xfId="59" applyNumberFormat="1" applyFont="1" applyBorder="1">
      <alignment/>
      <protection/>
    </xf>
    <xf numFmtId="1" fontId="3" fillId="0" borderId="17" xfId="59" applyNumberFormat="1" applyFont="1" applyBorder="1">
      <alignment/>
      <protection/>
    </xf>
    <xf numFmtId="168" fontId="3" fillId="0" borderId="17" xfId="59" applyNumberFormat="1" applyFont="1" applyBorder="1">
      <alignment/>
      <protection/>
    </xf>
    <xf numFmtId="0" fontId="3" fillId="0" borderId="17" xfId="59" applyFont="1" applyBorder="1">
      <alignment/>
      <protection/>
    </xf>
    <xf numFmtId="8" fontId="3" fillId="0" borderId="17" xfId="59" applyNumberFormat="1" applyFont="1" applyBorder="1">
      <alignment/>
      <protection/>
    </xf>
    <xf numFmtId="0" fontId="3" fillId="0" borderId="18" xfId="59" applyFont="1" applyBorder="1">
      <alignment/>
      <protection/>
    </xf>
    <xf numFmtId="0" fontId="3" fillId="0" borderId="19" xfId="59" applyFont="1" applyBorder="1">
      <alignment/>
      <protection/>
    </xf>
    <xf numFmtId="8" fontId="3" fillId="0" borderId="20" xfId="59" applyNumberFormat="1" applyFont="1" applyBorder="1">
      <alignment/>
      <protection/>
    </xf>
    <xf numFmtId="0" fontId="3" fillId="0" borderId="0" xfId="59" applyFont="1" applyBorder="1" applyAlignment="1">
      <alignment horizontal="center" wrapText="1"/>
      <protection/>
    </xf>
    <xf numFmtId="0" fontId="3" fillId="0" borderId="12" xfId="59" applyFont="1" applyBorder="1" applyAlignment="1">
      <alignment horizontal="center" wrapText="1"/>
      <protection/>
    </xf>
    <xf numFmtId="0" fontId="3" fillId="0" borderId="21" xfId="59" applyFont="1" applyBorder="1" applyAlignment="1">
      <alignment horizontal="center"/>
      <protection/>
    </xf>
    <xf numFmtId="0" fontId="3" fillId="0" borderId="22" xfId="59" applyFont="1" applyBorder="1" applyAlignment="1">
      <alignment horizontal="center"/>
      <protection/>
    </xf>
    <xf numFmtId="0" fontId="3" fillId="0" borderId="19" xfId="59" applyFont="1" applyBorder="1" applyAlignment="1">
      <alignment horizontal="center"/>
      <protection/>
    </xf>
    <xf numFmtId="8" fontId="3" fillId="0" borderId="19" xfId="59" applyNumberFormat="1" applyFont="1" applyBorder="1">
      <alignment/>
      <protection/>
    </xf>
    <xf numFmtId="43" fontId="3" fillId="0" borderId="19" xfId="59" applyNumberFormat="1" applyFont="1" applyBorder="1">
      <alignment/>
      <protection/>
    </xf>
    <xf numFmtId="8" fontId="3" fillId="0" borderId="23" xfId="59" applyNumberFormat="1" applyFont="1" applyBorder="1">
      <alignment/>
      <protection/>
    </xf>
    <xf numFmtId="0" fontId="3" fillId="0" borderId="24" xfId="59" applyFont="1" applyBorder="1" applyAlignment="1">
      <alignment horizontal="center"/>
      <protection/>
    </xf>
    <xf numFmtId="0" fontId="3" fillId="0" borderId="25" xfId="59" applyFont="1" applyBorder="1" applyAlignment="1">
      <alignment horizontal="center"/>
      <protection/>
    </xf>
    <xf numFmtId="8" fontId="3" fillId="0" borderId="12" xfId="59" applyNumberFormat="1" applyFont="1" applyBorder="1">
      <alignment/>
      <protection/>
    </xf>
    <xf numFmtId="0" fontId="3" fillId="0" borderId="26" xfId="59" applyFont="1" applyBorder="1" applyAlignment="1">
      <alignment horizontal="center"/>
      <protection/>
    </xf>
    <xf numFmtId="8" fontId="3" fillId="0" borderId="10" xfId="59" applyNumberFormat="1" applyFont="1" applyBorder="1">
      <alignment/>
      <protection/>
    </xf>
    <xf numFmtId="8" fontId="3" fillId="0" borderId="21" xfId="59" applyNumberFormat="1" applyFont="1" applyBorder="1">
      <alignment/>
      <protection/>
    </xf>
    <xf numFmtId="0" fontId="3" fillId="0" borderId="0" xfId="59" applyFont="1" applyFill="1" applyBorder="1" applyAlignment="1">
      <alignment horizontal="center"/>
      <protection/>
    </xf>
    <xf numFmtId="43" fontId="10" fillId="0" borderId="0" xfId="59" applyNumberFormat="1">
      <alignment/>
      <protection/>
    </xf>
    <xf numFmtId="0" fontId="10" fillId="0" borderId="0" xfId="59" applyFont="1">
      <alignment/>
      <protection/>
    </xf>
    <xf numFmtId="0" fontId="10" fillId="0" borderId="0" xfId="59" applyFont="1" applyBorder="1" applyAlignment="1">
      <alignment horizontal="left" indent="1"/>
      <protection/>
    </xf>
    <xf numFmtId="0" fontId="10" fillId="0" borderId="0" xfId="59" applyFont="1" applyBorder="1" applyAlignment="1">
      <alignment horizontal="right"/>
      <protection/>
    </xf>
    <xf numFmtId="0" fontId="26" fillId="0" borderId="0" xfId="59" applyFont="1" applyAlignment="1">
      <alignment horizontal="right"/>
      <protection/>
    </xf>
    <xf numFmtId="170" fontId="10" fillId="0" borderId="0" xfId="59" applyNumberFormat="1">
      <alignment/>
      <protection/>
    </xf>
    <xf numFmtId="170" fontId="0" fillId="0" borderId="0" xfId="0" applyNumberFormat="1" applyAlignment="1">
      <alignment/>
    </xf>
    <xf numFmtId="0" fontId="26" fillId="0" borderId="0" xfId="59" applyFont="1" applyAlignment="1">
      <alignment horizontal="left"/>
      <protection/>
    </xf>
    <xf numFmtId="0" fontId="28" fillId="0" borderId="0" xfId="0" applyFont="1" applyAlignment="1">
      <alignment/>
    </xf>
    <xf numFmtId="0" fontId="28" fillId="0" borderId="0" xfId="0" applyFont="1" applyAlignment="1">
      <alignment horizontal="right"/>
    </xf>
    <xf numFmtId="0" fontId="26" fillId="0" borderId="0" xfId="59" applyFont="1">
      <alignment/>
      <protection/>
    </xf>
    <xf numFmtId="0" fontId="28" fillId="0" borderId="0" xfId="0" applyFont="1" applyAlignment="1">
      <alignment horizontal="right"/>
    </xf>
    <xf numFmtId="0" fontId="10" fillId="0" borderId="0" xfId="59" applyFill="1" applyBorder="1">
      <alignment/>
      <protection/>
    </xf>
    <xf numFmtId="8" fontId="0" fillId="0" borderId="0" xfId="0" applyNumberFormat="1" applyAlignment="1">
      <alignment/>
    </xf>
    <xf numFmtId="8" fontId="10" fillId="0" borderId="0" xfId="0" applyNumberFormat="1" applyFont="1" applyAlignment="1">
      <alignment horizontal="right"/>
    </xf>
    <xf numFmtId="168" fontId="3" fillId="0" borderId="19" xfId="59" applyNumberFormat="1" applyFont="1" applyBorder="1">
      <alignment/>
      <protection/>
    </xf>
    <xf numFmtId="168" fontId="3" fillId="0" borderId="10" xfId="59" applyNumberFormat="1" applyFont="1" applyBorder="1">
      <alignment/>
      <protection/>
    </xf>
    <xf numFmtId="0" fontId="10" fillId="0" borderId="10" xfId="0" applyFont="1" applyBorder="1" applyAlignment="1">
      <alignment horizontal="center" wrapText="1"/>
    </xf>
    <xf numFmtId="0" fontId="0" fillId="0" borderId="0" xfId="0"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left" indent="1"/>
    </xf>
    <xf numFmtId="0" fontId="3" fillId="0" borderId="19" xfId="0" applyFont="1" applyBorder="1" applyAlignment="1">
      <alignment horizontal="center"/>
    </xf>
    <xf numFmtId="0" fontId="4" fillId="0" borderId="19" xfId="0" applyFont="1" applyBorder="1" applyAlignment="1">
      <alignment horizontal="right"/>
    </xf>
    <xf numFmtId="0" fontId="3" fillId="0" borderId="0" xfId="0" applyFont="1" applyAlignment="1">
      <alignment horizontal="left"/>
    </xf>
    <xf numFmtId="44" fontId="3" fillId="0" borderId="0" xfId="0" applyNumberFormat="1" applyFont="1" applyAlignment="1">
      <alignment horizontal="left" indent="1"/>
    </xf>
    <xf numFmtId="0" fontId="3" fillId="0" borderId="19" xfId="0" applyFont="1" applyBorder="1" applyAlignment="1">
      <alignment horizontal="left" indent="1"/>
    </xf>
    <xf numFmtId="0" fontId="3" fillId="0" borderId="0" xfId="0" applyFont="1" applyBorder="1" applyAlignment="1">
      <alignment horizontal="center"/>
    </xf>
    <xf numFmtId="0" fontId="3" fillId="0" borderId="0" xfId="0" applyFont="1" applyBorder="1" applyAlignment="1">
      <alignment horizontal="left" indent="1"/>
    </xf>
    <xf numFmtId="0" fontId="3" fillId="0" borderId="11"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2" fontId="3" fillId="0" borderId="15" xfId="0" applyNumberFormat="1" applyFont="1" applyBorder="1" applyAlignment="1">
      <alignment/>
    </xf>
    <xf numFmtId="0" fontId="3" fillId="0" borderId="16" xfId="0" applyFont="1" applyBorder="1" applyAlignment="1">
      <alignment/>
    </xf>
    <xf numFmtId="2" fontId="3" fillId="0" borderId="17" xfId="0" applyNumberFormat="1" applyFont="1" applyBorder="1" applyAlignment="1">
      <alignment/>
    </xf>
    <xf numFmtId="1" fontId="3" fillId="0" borderId="17" xfId="0" applyNumberFormat="1" applyFont="1" applyBorder="1" applyAlignment="1">
      <alignment/>
    </xf>
    <xf numFmtId="168" fontId="3" fillId="0" borderId="17" xfId="0" applyNumberFormat="1" applyFont="1" applyBorder="1" applyAlignment="1">
      <alignment/>
    </xf>
    <xf numFmtId="0" fontId="3" fillId="0" borderId="17" xfId="0" applyFont="1" applyBorder="1" applyAlignment="1">
      <alignment/>
    </xf>
    <xf numFmtId="8" fontId="3" fillId="0" borderId="17" xfId="0" applyNumberFormat="1" applyFont="1" applyBorder="1" applyAlignment="1">
      <alignment/>
    </xf>
    <xf numFmtId="0" fontId="3" fillId="0" borderId="18" xfId="0" applyFont="1" applyBorder="1" applyAlignment="1">
      <alignment/>
    </xf>
    <xf numFmtId="0" fontId="3" fillId="0" borderId="19" xfId="0" applyFont="1" applyBorder="1" applyAlignment="1">
      <alignment/>
    </xf>
    <xf numFmtId="8" fontId="3" fillId="0" borderId="20" xfId="0" applyNumberFormat="1" applyFont="1" applyBorder="1" applyAlignment="1">
      <alignment/>
    </xf>
    <xf numFmtId="0" fontId="3" fillId="0" borderId="0" xfId="0" applyFont="1" applyBorder="1" applyAlignment="1">
      <alignment horizontal="center" wrapText="1"/>
    </xf>
    <xf numFmtId="0" fontId="3" fillId="0" borderId="12" xfId="0" applyFont="1" applyBorder="1" applyAlignment="1">
      <alignment horizontal="center" wrapText="1"/>
    </xf>
    <xf numFmtId="0" fontId="3" fillId="0" borderId="21" xfId="0" applyFont="1" applyBorder="1" applyAlignment="1">
      <alignment horizontal="center"/>
    </xf>
    <xf numFmtId="0" fontId="3" fillId="0" borderId="22" xfId="0" applyFont="1" applyBorder="1" applyAlignment="1">
      <alignment horizontal="center"/>
    </xf>
    <xf numFmtId="8" fontId="3" fillId="0" borderId="19" xfId="0" applyNumberFormat="1" applyFont="1" applyBorder="1" applyAlignment="1">
      <alignment/>
    </xf>
    <xf numFmtId="8" fontId="3" fillId="0" borderId="23" xfId="0" applyNumberFormat="1" applyFont="1" applyBorder="1" applyAlignment="1">
      <alignment/>
    </xf>
    <xf numFmtId="0" fontId="3" fillId="0" borderId="24" xfId="0" applyFont="1" applyBorder="1" applyAlignment="1">
      <alignment horizontal="center"/>
    </xf>
    <xf numFmtId="0" fontId="3" fillId="0" borderId="25" xfId="0" applyFont="1" applyBorder="1" applyAlignment="1">
      <alignment horizontal="center"/>
    </xf>
    <xf numFmtId="8" fontId="3" fillId="0" borderId="12" xfId="0" applyNumberFormat="1" applyFont="1" applyBorder="1" applyAlignment="1">
      <alignment/>
    </xf>
    <xf numFmtId="0" fontId="3" fillId="0" borderId="26" xfId="0" applyFont="1" applyBorder="1" applyAlignment="1">
      <alignment horizontal="center"/>
    </xf>
    <xf numFmtId="8" fontId="3" fillId="0" borderId="10" xfId="0" applyNumberFormat="1" applyFont="1" applyBorder="1" applyAlignment="1">
      <alignment/>
    </xf>
    <xf numFmtId="8" fontId="3" fillId="0" borderId="21" xfId="0" applyNumberFormat="1" applyFont="1" applyBorder="1" applyAlignment="1">
      <alignment/>
    </xf>
    <xf numFmtId="0" fontId="3" fillId="0" borderId="0" xfId="0" applyFont="1" applyFill="1" applyBorder="1" applyAlignment="1">
      <alignment horizontal="center"/>
    </xf>
    <xf numFmtId="43" fontId="0" fillId="0" borderId="0" xfId="0" applyNumberFormat="1" applyAlignment="1">
      <alignment/>
    </xf>
    <xf numFmtId="0" fontId="3" fillId="0" borderId="10" xfId="0" applyFont="1" applyBorder="1" applyAlignment="1">
      <alignment horizontal="right"/>
    </xf>
    <xf numFmtId="37" fontId="3" fillId="0" borderId="0" xfId="44" applyNumberFormat="1" applyFont="1" applyAlignment="1">
      <alignment/>
    </xf>
    <xf numFmtId="0" fontId="4" fillId="0" borderId="0" xfId="0" applyFont="1" applyBorder="1" applyAlignment="1">
      <alignment horizontal="right"/>
    </xf>
    <xf numFmtId="0" fontId="0" fillId="0" borderId="0" xfId="0" applyAlignment="1">
      <alignment/>
    </xf>
    <xf numFmtId="0" fontId="3" fillId="0" borderId="26" xfId="56" applyFont="1" applyBorder="1" applyAlignment="1">
      <alignment horizontal="center" wrapText="1"/>
      <protection/>
    </xf>
    <xf numFmtId="0" fontId="3" fillId="0" borderId="10" xfId="56" applyFont="1" applyBorder="1" applyAlignment="1">
      <alignment horizontal="center" wrapText="1"/>
      <protection/>
    </xf>
    <xf numFmtId="0" fontId="3" fillId="0" borderId="27" xfId="56" applyFont="1" applyBorder="1" applyAlignment="1">
      <alignment horizontal="left"/>
      <protection/>
    </xf>
    <xf numFmtId="0" fontId="3" fillId="0" borderId="11" xfId="56" applyFont="1" applyBorder="1" applyAlignment="1">
      <alignment horizontal="center" wrapText="1"/>
      <protection/>
    </xf>
    <xf numFmtId="0" fontId="3" fillId="0" borderId="28" xfId="56" applyFont="1" applyBorder="1" applyAlignment="1">
      <alignment horizontal="left"/>
      <protection/>
    </xf>
    <xf numFmtId="0" fontId="3" fillId="0" borderId="29" xfId="56" applyFont="1" applyBorder="1" applyAlignment="1">
      <alignment horizontal="left"/>
      <protection/>
    </xf>
    <xf numFmtId="0" fontId="3" fillId="0" borderId="27" xfId="55" applyFont="1" applyBorder="1" applyAlignment="1">
      <alignment horizontal="left"/>
      <protection/>
    </xf>
    <xf numFmtId="0" fontId="3" fillId="0" borderId="28" xfId="55" applyFont="1" applyBorder="1" applyAlignment="1">
      <alignment horizontal="left"/>
      <protection/>
    </xf>
    <xf numFmtId="0" fontId="3" fillId="0" borderId="29" xfId="55" applyFont="1" applyBorder="1" applyAlignment="1">
      <alignment horizontal="left"/>
      <protection/>
    </xf>
    <xf numFmtId="0" fontId="3" fillId="0" borderId="11" xfId="55" applyFont="1" applyBorder="1" applyAlignment="1">
      <alignment horizontal="center" wrapText="1"/>
      <protection/>
    </xf>
    <xf numFmtId="0" fontId="3" fillId="0" borderId="26" xfId="55" applyFont="1" applyBorder="1" applyAlignment="1">
      <alignment horizontal="center" wrapText="1"/>
      <protection/>
    </xf>
    <xf numFmtId="0" fontId="3" fillId="0" borderId="10" xfId="55" applyFont="1" applyBorder="1" applyAlignment="1">
      <alignment horizontal="center" wrapText="1"/>
      <protection/>
    </xf>
    <xf numFmtId="0" fontId="3" fillId="0" borderId="10" xfId="56" applyFont="1" applyBorder="1">
      <alignment/>
      <protection/>
    </xf>
    <xf numFmtId="8" fontId="3" fillId="0" borderId="10" xfId="56" applyNumberFormat="1" applyFont="1" applyBorder="1">
      <alignment/>
      <protection/>
    </xf>
    <xf numFmtId="8" fontId="3" fillId="0" borderId="0" xfId="56" applyNumberFormat="1" applyFont="1" applyBorder="1">
      <alignment/>
      <protection/>
    </xf>
    <xf numFmtId="8" fontId="3" fillId="0" borderId="10" xfId="56" applyNumberFormat="1" applyFont="1" applyBorder="1">
      <alignment/>
      <protection/>
    </xf>
    <xf numFmtId="2" fontId="0" fillId="0" borderId="0" xfId="0" applyNumberFormat="1" applyAlignment="1">
      <alignment/>
    </xf>
    <xf numFmtId="1" fontId="0" fillId="0" borderId="0" xfId="0" applyNumberFormat="1" applyAlignment="1">
      <alignment/>
    </xf>
    <xf numFmtId="42" fontId="0" fillId="0" borderId="0" xfId="0" applyNumberFormat="1" applyAlignment="1">
      <alignment/>
    </xf>
    <xf numFmtId="44" fontId="0" fillId="0" borderId="0" xfId="0" applyNumberFormat="1" applyAlignment="1">
      <alignment/>
    </xf>
    <xf numFmtId="42" fontId="0" fillId="0" borderId="0" xfId="0" applyNumberFormat="1" applyAlignment="1">
      <alignment/>
    </xf>
    <xf numFmtId="4" fontId="0" fillId="0" borderId="0" xfId="0" applyNumberFormat="1" applyAlignment="1">
      <alignment/>
    </xf>
    <xf numFmtId="3" fontId="0" fillId="0" borderId="0" xfId="0" applyNumberFormat="1" applyFont="1" applyAlignment="1">
      <alignment/>
    </xf>
    <xf numFmtId="8" fontId="0" fillId="0" borderId="0" xfId="0" applyNumberFormat="1" applyAlignment="1">
      <alignment/>
    </xf>
    <xf numFmtId="171" fontId="0" fillId="0" borderId="0" xfId="0" applyNumberFormat="1" applyAlignment="1">
      <alignment/>
    </xf>
    <xf numFmtId="0" fontId="32" fillId="0" borderId="0" xfId="0" applyFont="1" applyAlignment="1">
      <alignment/>
    </xf>
    <xf numFmtId="0" fontId="33" fillId="0" borderId="10" xfId="0" applyFont="1" applyBorder="1" applyAlignment="1">
      <alignment horizontal="center"/>
    </xf>
    <xf numFmtId="0" fontId="33" fillId="0" borderId="10" xfId="0" applyFont="1" applyBorder="1" applyAlignment="1">
      <alignment horizontal="right"/>
    </xf>
    <xf numFmtId="0" fontId="32" fillId="0" borderId="0" xfId="0" applyFont="1" applyAlignment="1">
      <alignment horizontal="center"/>
    </xf>
    <xf numFmtId="42" fontId="32" fillId="0" borderId="0" xfId="0" applyNumberFormat="1" applyFont="1" applyAlignment="1">
      <alignment/>
    </xf>
    <xf numFmtId="0" fontId="33" fillId="0" borderId="10" xfId="0" applyFont="1" applyBorder="1" applyAlignment="1">
      <alignment/>
    </xf>
    <xf numFmtId="0" fontId="33" fillId="0" borderId="0" xfId="0" applyFont="1" applyAlignment="1">
      <alignment horizontal="center"/>
    </xf>
    <xf numFmtId="0" fontId="33" fillId="0" borderId="0" xfId="0" applyFont="1" applyAlignment="1">
      <alignment/>
    </xf>
    <xf numFmtId="0" fontId="33" fillId="0" borderId="0" xfId="0" applyFont="1" applyAlignment="1">
      <alignment horizontal="right"/>
    </xf>
    <xf numFmtId="0" fontId="33" fillId="0" borderId="0" xfId="0" applyFont="1" applyAlignment="1">
      <alignment horizontal="left" indent="1"/>
    </xf>
    <xf numFmtId="3" fontId="33" fillId="0" borderId="0" xfId="0" applyNumberFormat="1" applyFont="1" applyAlignment="1">
      <alignment horizontal="right"/>
    </xf>
    <xf numFmtId="0" fontId="33" fillId="0" borderId="10" xfId="0" applyFont="1" applyBorder="1" applyAlignment="1">
      <alignment horizontal="left" indent="1"/>
    </xf>
    <xf numFmtId="3" fontId="33" fillId="0" borderId="10" xfId="0" applyNumberFormat="1" applyFont="1" applyBorder="1" applyAlignment="1">
      <alignment horizontal="right"/>
    </xf>
    <xf numFmtId="8" fontId="33" fillId="0" borderId="0" xfId="0" applyNumberFormat="1" applyFont="1" applyAlignment="1">
      <alignment horizontal="right"/>
    </xf>
    <xf numFmtId="8" fontId="32" fillId="0" borderId="0" xfId="0" applyNumberFormat="1" applyFont="1" applyAlignment="1">
      <alignment/>
    </xf>
    <xf numFmtId="0" fontId="33" fillId="0" borderId="11" xfId="56" applyFont="1" applyBorder="1" applyAlignment="1">
      <alignment horizontal="left"/>
      <protection/>
    </xf>
    <xf numFmtId="0" fontId="33" fillId="0" borderId="0" xfId="56" applyFont="1" applyBorder="1" applyAlignment="1">
      <alignment horizontal="left"/>
      <protection/>
    </xf>
    <xf numFmtId="0" fontId="33" fillId="0" borderId="12" xfId="56" applyFont="1" applyBorder="1" applyAlignment="1">
      <alignment horizontal="left"/>
      <protection/>
    </xf>
    <xf numFmtId="0" fontId="33" fillId="0" borderId="11" xfId="56" applyFont="1" applyBorder="1">
      <alignment/>
      <protection/>
    </xf>
    <xf numFmtId="0" fontId="34" fillId="0" borderId="0" xfId="56" applyFont="1" applyBorder="1">
      <alignment/>
      <protection/>
    </xf>
    <xf numFmtId="0" fontId="33" fillId="0" borderId="0" xfId="56" applyFont="1" applyBorder="1">
      <alignment/>
      <protection/>
    </xf>
    <xf numFmtId="0" fontId="33" fillId="0" borderId="12" xfId="56" applyFont="1" applyBorder="1">
      <alignment/>
      <protection/>
    </xf>
    <xf numFmtId="0" fontId="33" fillId="0" borderId="13" xfId="56" applyFont="1" applyBorder="1">
      <alignment/>
      <protection/>
    </xf>
    <xf numFmtId="0" fontId="33" fillId="0" borderId="14" xfId="56" applyFont="1" applyBorder="1">
      <alignment/>
      <protection/>
    </xf>
    <xf numFmtId="2" fontId="33" fillId="0" borderId="15" xfId="56" applyNumberFormat="1" applyFont="1" applyBorder="1">
      <alignment/>
      <protection/>
    </xf>
    <xf numFmtId="0" fontId="33" fillId="0" borderId="16" xfId="56" applyFont="1" applyBorder="1">
      <alignment/>
      <protection/>
    </xf>
    <xf numFmtId="2" fontId="33" fillId="0" borderId="17" xfId="56" applyNumberFormat="1" applyFont="1" applyBorder="1">
      <alignment/>
      <protection/>
    </xf>
    <xf numFmtId="1" fontId="33" fillId="0" borderId="17" xfId="56" applyNumberFormat="1" applyFont="1" applyBorder="1">
      <alignment/>
      <protection/>
    </xf>
    <xf numFmtId="168" fontId="33" fillId="0" borderId="17" xfId="56" applyNumberFormat="1" applyFont="1" applyBorder="1">
      <alignment/>
      <protection/>
    </xf>
    <xf numFmtId="0" fontId="33" fillId="0" borderId="17" xfId="56" applyFont="1" applyBorder="1">
      <alignment/>
      <protection/>
    </xf>
    <xf numFmtId="8" fontId="33" fillId="0" borderId="17" xfId="56" applyNumberFormat="1" applyFont="1" applyBorder="1">
      <alignment/>
      <protection/>
    </xf>
    <xf numFmtId="0" fontId="33" fillId="0" borderId="18" xfId="56" applyFont="1" applyBorder="1">
      <alignment/>
      <protection/>
    </xf>
    <xf numFmtId="0" fontId="33" fillId="0" borderId="19" xfId="56" applyFont="1" applyBorder="1">
      <alignment/>
      <protection/>
    </xf>
    <xf numFmtId="8" fontId="33" fillId="0" borderId="20" xfId="56" applyNumberFormat="1" applyFont="1" applyBorder="1">
      <alignment/>
      <protection/>
    </xf>
    <xf numFmtId="0" fontId="33" fillId="0" borderId="0" xfId="56" applyFont="1" applyBorder="1" applyAlignment="1">
      <alignment horizontal="center" wrapText="1"/>
      <protection/>
    </xf>
    <xf numFmtId="0" fontId="33" fillId="0" borderId="12" xfId="56" applyFont="1" applyBorder="1" applyAlignment="1">
      <alignment horizontal="center" wrapText="1"/>
      <protection/>
    </xf>
    <xf numFmtId="0" fontId="33" fillId="0" borderId="10" xfId="56" applyFont="1" applyBorder="1" applyAlignment="1">
      <alignment horizontal="center"/>
      <protection/>
    </xf>
    <xf numFmtId="0" fontId="33" fillId="0" borderId="21" xfId="56" applyFont="1" applyBorder="1" applyAlignment="1">
      <alignment horizontal="center"/>
      <protection/>
    </xf>
    <xf numFmtId="0" fontId="33" fillId="0" borderId="22" xfId="56" applyFont="1" applyBorder="1" applyAlignment="1">
      <alignment horizontal="center"/>
      <protection/>
    </xf>
    <xf numFmtId="0" fontId="33" fillId="0" borderId="19" xfId="56" applyFont="1" applyBorder="1" applyAlignment="1">
      <alignment horizontal="center"/>
      <protection/>
    </xf>
    <xf numFmtId="8" fontId="33" fillId="0" borderId="19" xfId="56" applyNumberFormat="1" applyFont="1" applyBorder="1">
      <alignment/>
      <protection/>
    </xf>
    <xf numFmtId="43" fontId="33" fillId="0" borderId="19" xfId="56" applyNumberFormat="1" applyFont="1" applyBorder="1">
      <alignment/>
      <protection/>
    </xf>
    <xf numFmtId="8" fontId="33" fillId="0" borderId="23" xfId="56" applyNumberFormat="1" applyFont="1" applyBorder="1">
      <alignment/>
      <protection/>
    </xf>
    <xf numFmtId="0" fontId="33" fillId="0" borderId="24" xfId="56" applyFont="1" applyBorder="1" applyAlignment="1">
      <alignment horizontal="center"/>
      <protection/>
    </xf>
    <xf numFmtId="0" fontId="33" fillId="0" borderId="25" xfId="56" applyFont="1" applyBorder="1" applyAlignment="1">
      <alignment horizontal="center"/>
      <protection/>
    </xf>
    <xf numFmtId="8" fontId="33" fillId="0" borderId="0" xfId="56" applyNumberFormat="1" applyFont="1" applyBorder="1">
      <alignment/>
      <protection/>
    </xf>
    <xf numFmtId="8" fontId="33" fillId="0" borderId="12" xfId="56" applyNumberFormat="1" applyFont="1" applyBorder="1">
      <alignment/>
      <protection/>
    </xf>
    <xf numFmtId="0" fontId="33" fillId="0" borderId="26" xfId="56" applyFont="1" applyBorder="1" applyAlignment="1">
      <alignment horizontal="center"/>
      <protection/>
    </xf>
    <xf numFmtId="0" fontId="33" fillId="0" borderId="10" xfId="56" applyFont="1" applyBorder="1">
      <alignment/>
      <protection/>
    </xf>
    <xf numFmtId="8" fontId="33" fillId="0" borderId="10" xfId="56" applyNumberFormat="1" applyFont="1" applyBorder="1">
      <alignment/>
      <protection/>
    </xf>
    <xf numFmtId="8" fontId="33" fillId="0" borderId="10" xfId="56" applyNumberFormat="1" applyFont="1" applyBorder="1">
      <alignment/>
      <protection/>
    </xf>
    <xf numFmtId="8" fontId="33" fillId="0" borderId="10" xfId="56" applyNumberFormat="1" applyFont="1" applyBorder="1">
      <alignment/>
      <protection/>
    </xf>
    <xf numFmtId="8" fontId="33" fillId="0" borderId="21" xfId="56" applyNumberFormat="1" applyFont="1" applyBorder="1">
      <alignment/>
      <protection/>
    </xf>
    <xf numFmtId="0" fontId="33" fillId="0" borderId="0" xfId="56" applyFont="1">
      <alignment/>
      <protection/>
    </xf>
    <xf numFmtId="0" fontId="33" fillId="0" borderId="0" xfId="56" applyFont="1" applyFill="1" applyBorder="1" applyAlignment="1">
      <alignment horizontal="center"/>
      <protection/>
    </xf>
    <xf numFmtId="43" fontId="33" fillId="0" borderId="0" xfId="56" applyNumberFormat="1" applyFont="1">
      <alignment/>
      <protection/>
    </xf>
    <xf numFmtId="0" fontId="31" fillId="0" borderId="10" xfId="0" applyFont="1" applyBorder="1" applyAlignment="1">
      <alignment/>
    </xf>
    <xf numFmtId="6" fontId="35" fillId="0" borderId="10" xfId="0" applyNumberFormat="1" applyFont="1" applyBorder="1" applyAlignment="1">
      <alignment horizontal="right"/>
    </xf>
    <xf numFmtId="0" fontId="30" fillId="0" borderId="0" xfId="0" applyFont="1" applyAlignment="1">
      <alignment horizontal="right"/>
    </xf>
    <xf numFmtId="0" fontId="36" fillId="0" borderId="10" xfId="0" applyFont="1" applyBorder="1" applyAlignment="1">
      <alignment horizontal="right"/>
    </xf>
    <xf numFmtId="42" fontId="31" fillId="0" borderId="0" xfId="0" applyNumberFormat="1" applyFont="1" applyAlignment="1">
      <alignment/>
    </xf>
    <xf numFmtId="0" fontId="35" fillId="0" borderId="0" xfId="0" applyFont="1" applyAlignment="1">
      <alignment horizontal="right"/>
    </xf>
    <xf numFmtId="173" fontId="0" fillId="0" borderId="0" xfId="0" applyNumberFormat="1" applyAlignment="1">
      <alignment/>
    </xf>
    <xf numFmtId="0" fontId="0" fillId="0" borderId="0" xfId="0" applyNumberFormat="1" applyFont="1" applyAlignment="1" quotePrefix="1">
      <alignment/>
    </xf>
    <xf numFmtId="170" fontId="3" fillId="0" borderId="17" xfId="59" applyNumberFormat="1" applyFont="1" applyBorder="1">
      <alignment/>
      <protection/>
    </xf>
    <xf numFmtId="170" fontId="3" fillId="0" borderId="0" xfId="0" applyNumberFormat="1" applyFont="1" applyAlignment="1">
      <alignment/>
    </xf>
    <xf numFmtId="173" fontId="3" fillId="0" borderId="0" xfId="0" applyNumberFormat="1" applyFont="1" applyAlignment="1">
      <alignment horizontal="right"/>
    </xf>
    <xf numFmtId="170" fontId="10" fillId="0" borderId="0" xfId="0" applyNumberFormat="1" applyFont="1" applyAlignment="1">
      <alignment horizontal="center"/>
    </xf>
    <xf numFmtId="170" fontId="10" fillId="0" borderId="0" xfId="0" applyNumberFormat="1" applyFont="1" applyAlignment="1">
      <alignment horizontal="right"/>
    </xf>
    <xf numFmtId="170" fontId="26" fillId="0" borderId="0" xfId="0" applyNumberFormat="1" applyFont="1" applyAlignment="1">
      <alignment horizontal="right"/>
    </xf>
    <xf numFmtId="0" fontId="3" fillId="0" borderId="0" xfId="0" applyFont="1" applyBorder="1" applyAlignment="1">
      <alignment horizontal="center"/>
    </xf>
    <xf numFmtId="0" fontId="3" fillId="0" borderId="0" xfId="0" applyFont="1" applyBorder="1" applyAlignment="1">
      <alignment horizontal="left" indent="1"/>
    </xf>
    <xf numFmtId="170" fontId="0" fillId="0" borderId="0" xfId="0" applyNumberFormat="1" applyAlignment="1">
      <alignment/>
    </xf>
    <xf numFmtId="170" fontId="3" fillId="0" borderId="0" xfId="42" applyNumberFormat="1" applyFont="1" applyAlignment="1">
      <alignment horizontal="right"/>
    </xf>
    <xf numFmtId="170" fontId="4" fillId="0" borderId="14" xfId="44" applyNumberFormat="1" applyFont="1" applyBorder="1" applyAlignment="1">
      <alignment/>
    </xf>
    <xf numFmtId="170" fontId="3" fillId="0" borderId="0" xfId="42" applyNumberFormat="1" applyFont="1" applyAlignment="1">
      <alignment/>
    </xf>
    <xf numFmtId="170" fontId="3" fillId="0" borderId="0" xfId="0" applyNumberFormat="1" applyFont="1" applyAlignment="1">
      <alignment horizontal="right"/>
    </xf>
    <xf numFmtId="170" fontId="4" fillId="0" borderId="28" xfId="0" applyNumberFormat="1" applyFont="1" applyBorder="1" applyAlignment="1">
      <alignment/>
    </xf>
    <xf numFmtId="170" fontId="3" fillId="0" borderId="0" xfId="0" applyNumberFormat="1" applyFont="1" applyAlignment="1">
      <alignment/>
    </xf>
    <xf numFmtId="170" fontId="4" fillId="0" borderId="10" xfId="0" applyNumberFormat="1" applyFont="1" applyBorder="1" applyAlignment="1">
      <alignment horizontal="right"/>
    </xf>
    <xf numFmtId="170" fontId="3" fillId="0" borderId="17" xfId="56" applyNumberFormat="1" applyFont="1" applyBorder="1">
      <alignment/>
      <protection/>
    </xf>
    <xf numFmtId="5" fontId="10" fillId="0" borderId="0" xfId="56" applyNumberFormat="1">
      <alignment/>
      <protection/>
    </xf>
    <xf numFmtId="170" fontId="10" fillId="0" borderId="0" xfId="56" applyNumberFormat="1">
      <alignment/>
      <protection/>
    </xf>
    <xf numFmtId="170" fontId="26" fillId="0" borderId="10" xfId="0" applyNumberFormat="1" applyFont="1" applyBorder="1" applyAlignment="1">
      <alignment horizontal="right"/>
    </xf>
    <xf numFmtId="170" fontId="35" fillId="0" borderId="28" xfId="0" applyNumberFormat="1" applyFont="1" applyBorder="1" applyAlignment="1">
      <alignment/>
    </xf>
    <xf numFmtId="170" fontId="31" fillId="0" borderId="0" xfId="0" applyNumberFormat="1" applyFont="1" applyAlignment="1">
      <alignment/>
    </xf>
    <xf numFmtId="170" fontId="10" fillId="0" borderId="0" xfId="55" applyNumberFormat="1">
      <alignment/>
      <protection/>
    </xf>
    <xf numFmtId="170" fontId="3" fillId="0" borderId="17" xfId="55" applyNumberFormat="1" applyFont="1" applyBorder="1">
      <alignment/>
      <protection/>
    </xf>
    <xf numFmtId="170" fontId="37" fillId="0" borderId="0" xfId="0" applyNumberFormat="1" applyFont="1" applyAlignment="1">
      <alignment horizontal="right"/>
    </xf>
    <xf numFmtId="170" fontId="38" fillId="0" borderId="28" xfId="0" applyNumberFormat="1" applyFont="1" applyBorder="1" applyAlignment="1">
      <alignment/>
    </xf>
    <xf numFmtId="170" fontId="37" fillId="0" borderId="0" xfId="0" applyNumberFormat="1" applyFont="1" applyAlignment="1">
      <alignment/>
    </xf>
    <xf numFmtId="170" fontId="32" fillId="0" borderId="0" xfId="0" applyNumberFormat="1" applyFont="1" applyAlignment="1">
      <alignment/>
    </xf>
    <xf numFmtId="170" fontId="0" fillId="0" borderId="0" xfId="0" applyNumberFormat="1" applyFont="1" applyAlignment="1">
      <alignment/>
    </xf>
    <xf numFmtId="170" fontId="10" fillId="0" borderId="10" xfId="0" applyNumberFormat="1" applyFont="1" applyBorder="1" applyAlignment="1">
      <alignment horizontal="center"/>
    </xf>
    <xf numFmtId="170" fontId="3" fillId="0" borderId="10" xfId="0" applyNumberFormat="1" applyFont="1" applyBorder="1" applyAlignment="1">
      <alignment horizontal="center"/>
    </xf>
    <xf numFmtId="170" fontId="10" fillId="0" borderId="10" xfId="0" applyNumberFormat="1" applyFont="1" applyBorder="1" applyAlignment="1">
      <alignment horizontal="right"/>
    </xf>
    <xf numFmtId="5" fontId="10" fillId="0" borderId="0" xfId="59" applyNumberFormat="1">
      <alignment/>
      <protection/>
    </xf>
    <xf numFmtId="170" fontId="3" fillId="0" borderId="0" xfId="59" applyNumberFormat="1" applyFont="1" applyAlignment="1">
      <alignment horizontal="center"/>
      <protection/>
    </xf>
    <xf numFmtId="0" fontId="10" fillId="0" borderId="0" xfId="0" applyFont="1" applyAlignment="1">
      <alignment wrapText="1"/>
    </xf>
    <xf numFmtId="0" fontId="0" fillId="0" borderId="0" xfId="0" applyAlignment="1">
      <alignment horizontal="center"/>
    </xf>
    <xf numFmtId="0" fontId="10" fillId="0" borderId="10" xfId="0" applyFont="1" applyBorder="1" applyAlignment="1">
      <alignment wrapText="1"/>
    </xf>
    <xf numFmtId="0" fontId="3" fillId="0" borderId="10" xfId="0" applyFont="1" applyBorder="1" applyAlignment="1">
      <alignment wrapText="1"/>
    </xf>
    <xf numFmtId="0" fontId="3" fillId="0" borderId="0" xfId="0" applyFont="1" applyAlignment="1">
      <alignment wrapText="1"/>
    </xf>
    <xf numFmtId="0" fontId="3" fillId="0" borderId="0" xfId="58" applyFont="1" applyFill="1" applyBorder="1" applyAlignment="1">
      <alignment horizontal="center"/>
      <protection/>
    </xf>
    <xf numFmtId="0" fontId="0" fillId="0" borderId="0" xfId="0" applyAlignment="1">
      <alignment/>
    </xf>
    <xf numFmtId="0" fontId="3" fillId="0" borderId="27" xfId="60" applyFont="1" applyBorder="1" applyAlignment="1">
      <alignment horizontal="left"/>
      <protection/>
    </xf>
    <xf numFmtId="0" fontId="3" fillId="0" borderId="28" xfId="60" applyFont="1" applyBorder="1" applyAlignment="1">
      <alignment horizontal="left"/>
      <protection/>
    </xf>
    <xf numFmtId="0" fontId="3" fillId="0" borderId="29" xfId="60" applyFont="1" applyBorder="1" applyAlignment="1">
      <alignment horizontal="left"/>
      <protection/>
    </xf>
    <xf numFmtId="0" fontId="3" fillId="0" borderId="11" xfId="60" applyFont="1" applyBorder="1" applyAlignment="1">
      <alignment horizontal="center" wrapText="1"/>
      <protection/>
    </xf>
    <xf numFmtId="0" fontId="3" fillId="0" borderId="26" xfId="60" applyFont="1" applyBorder="1" applyAlignment="1">
      <alignment horizontal="center" wrapText="1"/>
      <protection/>
    </xf>
    <xf numFmtId="0" fontId="3" fillId="0" borderId="0" xfId="60" applyFont="1" applyBorder="1" applyAlignment="1">
      <alignment horizontal="center" wrapText="1"/>
      <protection/>
    </xf>
    <xf numFmtId="0" fontId="3" fillId="0" borderId="10" xfId="60" applyFont="1" applyBorder="1" applyAlignment="1">
      <alignment horizontal="center" wrapText="1"/>
      <protection/>
    </xf>
    <xf numFmtId="0" fontId="28" fillId="0" borderId="0" xfId="0" applyFont="1" applyAlignment="1">
      <alignment/>
    </xf>
    <xf numFmtId="0" fontId="3" fillId="0" borderId="27" xfId="59" applyFont="1" applyBorder="1" applyAlignment="1">
      <alignment horizontal="left"/>
      <protection/>
    </xf>
    <xf numFmtId="0" fontId="3" fillId="0" borderId="28" xfId="59" applyFont="1" applyBorder="1" applyAlignment="1">
      <alignment horizontal="left"/>
      <protection/>
    </xf>
    <xf numFmtId="0" fontId="3" fillId="0" borderId="29" xfId="59" applyFont="1" applyBorder="1" applyAlignment="1">
      <alignment horizontal="left"/>
      <protection/>
    </xf>
    <xf numFmtId="0" fontId="3" fillId="0" borderId="11" xfId="59" applyFont="1" applyBorder="1" applyAlignment="1">
      <alignment horizontal="center" wrapText="1"/>
      <protection/>
    </xf>
    <xf numFmtId="0" fontId="3" fillId="0" borderId="26" xfId="59" applyFont="1" applyBorder="1" applyAlignment="1">
      <alignment horizontal="center" wrapText="1"/>
      <protection/>
    </xf>
    <xf numFmtId="0" fontId="3" fillId="0" borderId="0" xfId="59" applyFont="1" applyBorder="1" applyAlignment="1">
      <alignment horizontal="center" wrapText="1"/>
      <protection/>
    </xf>
    <xf numFmtId="0" fontId="3" fillId="0" borderId="10" xfId="59" applyFont="1" applyBorder="1" applyAlignment="1">
      <alignment horizontal="center" wrapText="1"/>
      <protection/>
    </xf>
    <xf numFmtId="0" fontId="3" fillId="0" borderId="0" xfId="59" applyFont="1" applyAlignment="1">
      <alignment horizontal="center"/>
      <protection/>
    </xf>
    <xf numFmtId="0" fontId="26" fillId="0" borderId="0" xfId="59" applyFont="1" applyAlignment="1">
      <alignment horizontal="left"/>
      <protection/>
    </xf>
    <xf numFmtId="0" fontId="29" fillId="0" borderId="0" xfId="0" applyFont="1" applyAlignment="1">
      <alignment horizontal="left"/>
    </xf>
    <xf numFmtId="0" fontId="1" fillId="0" borderId="0" xfId="0" applyFont="1" applyAlignment="1">
      <alignment vertical="justify"/>
    </xf>
    <xf numFmtId="0" fontId="0" fillId="0" borderId="0" xfId="0" applyAlignment="1">
      <alignment vertical="justify"/>
    </xf>
    <xf numFmtId="0" fontId="10" fillId="0" borderId="0" xfId="0" applyFont="1" applyBorder="1" applyAlignment="1">
      <alignment wrapText="1"/>
    </xf>
    <xf numFmtId="0" fontId="3" fillId="0" borderId="19" xfId="0" applyFont="1" applyBorder="1" applyAlignment="1">
      <alignment horizontal="left" wrapText="1"/>
    </xf>
    <xf numFmtId="0" fontId="3" fillId="0" borderId="0" xfId="0" applyFont="1" applyBorder="1" applyAlignment="1">
      <alignment horizontal="center" wrapText="1"/>
    </xf>
    <xf numFmtId="0" fontId="3" fillId="0" borderId="10" xfId="0" applyFont="1" applyBorder="1" applyAlignment="1">
      <alignment horizontal="center" wrapText="1"/>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11" xfId="0" applyFont="1" applyBorder="1" applyAlignment="1">
      <alignment horizontal="center" wrapText="1"/>
    </xf>
    <xf numFmtId="0" fontId="3" fillId="0" borderId="26" xfId="0" applyFont="1" applyBorder="1" applyAlignment="1">
      <alignment horizontal="center" wrapText="1"/>
    </xf>
    <xf numFmtId="0" fontId="3" fillId="0" borderId="11" xfId="56" applyFont="1" applyBorder="1" applyAlignment="1">
      <alignment horizontal="center" wrapText="1"/>
      <protection/>
    </xf>
    <xf numFmtId="0" fontId="3" fillId="0" borderId="26" xfId="56" applyFont="1" applyBorder="1" applyAlignment="1">
      <alignment horizontal="center" wrapText="1"/>
      <protection/>
    </xf>
    <xf numFmtId="0" fontId="3" fillId="0" borderId="0" xfId="56" applyFont="1" applyBorder="1" applyAlignment="1">
      <alignment horizontal="center" wrapText="1"/>
      <protection/>
    </xf>
    <xf numFmtId="0" fontId="3" fillId="0" borderId="10" xfId="56" applyFont="1" applyBorder="1" applyAlignment="1">
      <alignment horizontal="center" wrapText="1"/>
      <protection/>
    </xf>
    <xf numFmtId="0" fontId="3" fillId="0" borderId="27" xfId="56" applyFont="1" applyBorder="1" applyAlignment="1">
      <alignment horizontal="left"/>
      <protection/>
    </xf>
    <xf numFmtId="0" fontId="3" fillId="0" borderId="28" xfId="56" applyFont="1" applyBorder="1" applyAlignment="1">
      <alignment horizontal="left"/>
      <protection/>
    </xf>
    <xf numFmtId="0" fontId="3" fillId="0" borderId="29" xfId="56" applyFont="1" applyBorder="1" applyAlignment="1">
      <alignment horizontal="left"/>
      <protection/>
    </xf>
    <xf numFmtId="0" fontId="39" fillId="0" borderId="10" xfId="0" applyFont="1" applyBorder="1" applyAlignment="1">
      <alignment wrapText="1"/>
    </xf>
    <xf numFmtId="0" fontId="33" fillId="0" borderId="27" xfId="56" applyFont="1" applyBorder="1" applyAlignment="1">
      <alignment horizontal="left"/>
      <protection/>
    </xf>
    <xf numFmtId="0" fontId="33" fillId="0" borderId="28" xfId="56" applyFont="1" applyBorder="1" applyAlignment="1">
      <alignment horizontal="left"/>
      <protection/>
    </xf>
    <xf numFmtId="0" fontId="33" fillId="0" borderId="29" xfId="56" applyFont="1" applyBorder="1" applyAlignment="1">
      <alignment horizontal="left"/>
      <protection/>
    </xf>
    <xf numFmtId="0" fontId="33" fillId="0" borderId="11" xfId="56" applyFont="1" applyBorder="1" applyAlignment="1">
      <alignment horizontal="center" wrapText="1"/>
      <protection/>
    </xf>
    <xf numFmtId="0" fontId="33" fillId="0" borderId="26" xfId="56" applyFont="1" applyBorder="1" applyAlignment="1">
      <alignment horizontal="center" wrapText="1"/>
      <protection/>
    </xf>
    <xf numFmtId="0" fontId="33" fillId="0" borderId="0" xfId="56" applyFont="1" applyBorder="1" applyAlignment="1">
      <alignment horizontal="center" wrapText="1"/>
      <protection/>
    </xf>
    <xf numFmtId="0" fontId="33" fillId="0" borderId="10" xfId="56" applyFont="1" applyBorder="1" applyAlignment="1">
      <alignment horizontal="center" wrapText="1"/>
      <protection/>
    </xf>
    <xf numFmtId="0" fontId="30" fillId="0" borderId="0" xfId="0" applyFont="1" applyAlignment="1">
      <alignment horizontal="center" wrapText="1"/>
    </xf>
    <xf numFmtId="0" fontId="0" fillId="0" borderId="0" xfId="0" applyAlignment="1">
      <alignment horizontal="center" wrapText="1"/>
    </xf>
    <xf numFmtId="0" fontId="3" fillId="0" borderId="10" xfId="0" applyFont="1" applyBorder="1" applyAlignment="1">
      <alignment horizontal="left"/>
    </xf>
    <xf numFmtId="0" fontId="0" fillId="0" borderId="10" xfId="0" applyBorder="1" applyAlignment="1">
      <alignment horizontal="left"/>
    </xf>
    <xf numFmtId="0" fontId="28" fillId="24"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rackish Desalination" xfId="55"/>
    <cellStyle name="Normal_Brownsville Weir and Reservoir" xfId="56"/>
    <cellStyle name="Normal_Non-Potable Water Reuse" xfId="57"/>
    <cellStyle name="Normal_Potable Water Reuse" xfId="58"/>
    <cellStyle name="Normal_Seawater Desalination"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28575</xdr:rowOff>
    </xdr:from>
    <xdr:to>
      <xdr:col>12</xdr:col>
      <xdr:colOff>428625</xdr:colOff>
      <xdr:row>31</xdr:row>
      <xdr:rowOff>104775</xdr:rowOff>
    </xdr:to>
    <xdr:sp>
      <xdr:nvSpPr>
        <xdr:cNvPr id="1" name="Text Box 1"/>
        <xdr:cNvSpPr txBox="1">
          <a:spLocks noChangeArrowheads="1"/>
        </xdr:cNvSpPr>
      </xdr:nvSpPr>
      <xdr:spPr>
        <a:xfrm>
          <a:off x="219075" y="352425"/>
          <a:ext cx="7524750" cy="4772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Frutiger-Light"/>
              <a:ea typeface="Frutiger-Light"/>
              <a:cs typeface="Frutiger-Light"/>
            </a:rPr>
            <a:t>Cost Estimation Methodology for the 2011 Region M Water Plan
</a:t>
          </a:r>
          <a:r>
            <a:rPr lang="en-US" cap="none" sz="1000" b="0" i="0" u="none" baseline="0">
              <a:solidFill>
                <a:srgbClr val="000000"/>
              </a:solidFill>
              <a:latin typeface="Frutiger-Light"/>
              <a:ea typeface="Frutiger-Light"/>
              <a:cs typeface="Frutiger-Light"/>
            </a:rPr>
            <a:t>
</a:t>
          </a:r>
          <a:r>
            <a:rPr lang="en-US" cap="none" sz="1000" b="0" i="0" u="none" baseline="0">
              <a:solidFill>
                <a:srgbClr val="000000"/>
              </a:solidFill>
              <a:latin typeface="Frutiger-Light"/>
              <a:ea typeface="Frutiger-Light"/>
              <a:cs typeface="Frutiger-Light"/>
            </a:rPr>
            <a:t>Introduction
</a:t>
          </a:r>
          <a:r>
            <a:rPr lang="en-US" cap="none" sz="1000" b="0" i="0" u="none" baseline="0">
              <a:solidFill>
                <a:srgbClr val="000000"/>
              </a:solidFill>
              <a:latin typeface="Frutiger-Light"/>
              <a:ea typeface="Frutiger-Light"/>
              <a:cs typeface="Frutiger-Light"/>
            </a:rPr>
            <a:t>
</a:t>
          </a:r>
          <a:r>
            <a:rPr lang="en-US" cap="none" sz="1000" b="0" i="0" u="none" baseline="0">
              <a:solidFill>
                <a:srgbClr val="000000"/>
              </a:solidFill>
              <a:latin typeface="Frutiger-Light"/>
              <a:ea typeface="Frutiger-Light"/>
              <a:cs typeface="Frutiger-Light"/>
            </a:rPr>
            <a:t>In accordance with the instructions provided by the Texas Water Development Board in "Exhibit C - Guidelines for Regional Water Plan  Development"(Appendix 10) individual, per-unit cost estimates were generated for the following water management strategies (WMSs) available in Region M:
</a:t>
          </a:r>
          <a:r>
            <a:rPr lang="en-US" cap="none" sz="1000" b="0" i="0" u="none" baseline="0">
              <a:solidFill>
                <a:srgbClr val="000000"/>
              </a:solidFill>
              <a:latin typeface="Frutiger-Light"/>
              <a:ea typeface="Frutiger-Light"/>
              <a:cs typeface="Frutiger-Light"/>
            </a:rPr>
            <a:t>
</a:t>
          </a:r>
          <a:r>
            <a:rPr lang="en-US" cap="none" sz="1000" b="0" i="0" u="none" baseline="0">
              <a:solidFill>
                <a:srgbClr val="000000"/>
              </a:solidFill>
              <a:latin typeface="Frutiger-Light"/>
              <a:ea typeface="Frutiger-Light"/>
              <a:cs typeface="Frutiger-Light"/>
            </a:rPr>
            <a:t>A.  Acquisition of Rio Grande Water Rights Through Purchase
</a:t>
          </a:r>
          <a:r>
            <a:rPr lang="en-US" cap="none" sz="1000" b="0" i="0" u="none" baseline="0">
              <a:solidFill>
                <a:srgbClr val="000000"/>
              </a:solidFill>
              <a:latin typeface="Frutiger-Light"/>
              <a:ea typeface="Frutiger-Light"/>
              <a:cs typeface="Frutiger-Light"/>
            </a:rPr>
            <a:t>B.  Acquisition of Rio Grande Water Rights Through Urbanization
</a:t>
          </a:r>
          <a:r>
            <a:rPr lang="en-US" cap="none" sz="1000" b="0" i="0" u="none" baseline="0">
              <a:solidFill>
                <a:srgbClr val="000000"/>
              </a:solidFill>
              <a:latin typeface="Frutiger-Light"/>
              <a:ea typeface="Frutiger-Light"/>
              <a:cs typeface="Frutiger-Light"/>
            </a:rPr>
            <a:t>C.  Acquisition of Rio Grande Water Rights Through Contract
</a:t>
          </a:r>
          <a:r>
            <a:rPr lang="en-US" cap="none" sz="1000" b="0" i="0" u="none" baseline="0">
              <a:solidFill>
                <a:srgbClr val="000000"/>
              </a:solidFill>
              <a:latin typeface="Frutiger-Light"/>
              <a:ea typeface="Frutiger-Light"/>
              <a:cs typeface="Frutiger-Light"/>
            </a:rPr>
            <a:t>D.  Non-Potable Water Re-Use
</a:t>
          </a:r>
          <a:r>
            <a:rPr lang="en-US" cap="none" sz="1000" b="0" i="0" u="none" baseline="0">
              <a:solidFill>
                <a:srgbClr val="000000"/>
              </a:solidFill>
              <a:latin typeface="Frutiger-Light"/>
              <a:ea typeface="Frutiger-Light"/>
              <a:cs typeface="Frutiger-Light"/>
            </a:rPr>
            <a:t>E.  Potable Water Re-Use
</a:t>
          </a:r>
          <a:r>
            <a:rPr lang="en-US" cap="none" sz="1000" b="0" i="0" u="none" baseline="0">
              <a:solidFill>
                <a:srgbClr val="000000"/>
              </a:solidFill>
              <a:latin typeface="Frutiger-Light"/>
              <a:ea typeface="Frutiger-Light"/>
              <a:cs typeface="Frutiger-Light"/>
            </a:rPr>
            <a:t>F.  Advanced Water Conservation
</a:t>
          </a:r>
          <a:r>
            <a:rPr lang="en-US" cap="none" sz="1000" b="0" i="0" u="none" baseline="0">
              <a:solidFill>
                <a:srgbClr val="000000"/>
              </a:solidFill>
              <a:latin typeface="Frutiger-Light"/>
              <a:ea typeface="Frutiger-Light"/>
              <a:cs typeface="Frutiger-Light"/>
            </a:rPr>
            <a:t>G.  Seawater Desalination
</a:t>
          </a:r>
          <a:r>
            <a:rPr lang="en-US" cap="none" sz="1000" b="0" i="0" u="none" baseline="0">
              <a:solidFill>
                <a:srgbClr val="000000"/>
              </a:solidFill>
              <a:latin typeface="Frutiger-Light"/>
              <a:ea typeface="Frutiger-Light"/>
              <a:cs typeface="Frutiger-Light"/>
            </a:rPr>
            <a:t>H.  Brackish Groundwater Desalination
</a:t>
          </a:r>
          <a:r>
            <a:rPr lang="en-US" cap="none" sz="1000" b="0" i="0" u="none" baseline="0">
              <a:solidFill>
                <a:srgbClr val="000000"/>
              </a:solidFill>
              <a:latin typeface="Frutiger-Light"/>
              <a:ea typeface="Frutiger-Light"/>
              <a:cs typeface="Frutiger-Light"/>
            </a:rPr>
            <a:t>I.  Additional Groundwater
</a:t>
          </a:r>
          <a:r>
            <a:rPr lang="en-US" cap="none" sz="1000" b="0" i="0" u="none" baseline="0">
              <a:solidFill>
                <a:srgbClr val="000000"/>
              </a:solidFill>
              <a:latin typeface="Frutiger-Light"/>
              <a:ea typeface="Frutiger-Light"/>
              <a:cs typeface="Frutiger-Light"/>
            </a:rPr>
            <a:t>J.  Brownsville Weir and Reservoir
</a:t>
          </a:r>
          <a:r>
            <a:rPr lang="en-US" cap="none" sz="1000" b="0" i="0" u="none" baseline="0">
              <a:solidFill>
                <a:srgbClr val="000000"/>
              </a:solidFill>
              <a:latin typeface="Frutiger-Light"/>
              <a:ea typeface="Frutiger-Light"/>
              <a:cs typeface="Frutiger-Light"/>
            </a:rPr>
            <a:t>K.  Resaca Restoration
</a:t>
          </a:r>
          <a:r>
            <a:rPr lang="en-US" cap="none" sz="1000" b="0" i="0" u="none" baseline="0">
              <a:solidFill>
                <a:srgbClr val="000000"/>
              </a:solidFill>
              <a:latin typeface="Frutiger-Light"/>
              <a:ea typeface="Frutiger-Light"/>
              <a:cs typeface="Frutiger-Light"/>
            </a:rPr>
            <a:t>L.  Laredo Low Water Weir
</a:t>
          </a:r>
          <a:r>
            <a:rPr lang="en-US" cap="none" sz="1000" b="0" i="0" u="none" baseline="0">
              <a:solidFill>
                <a:srgbClr val="000000"/>
              </a:solidFill>
              <a:latin typeface="Frutiger-Light"/>
              <a:ea typeface="Frutiger-Light"/>
              <a:cs typeface="Frutiger-Light"/>
            </a:rPr>
            <a:t>M.  Banco Morales Reservoir
</a:t>
          </a:r>
          <a:r>
            <a:rPr lang="en-US" cap="none" sz="1000" b="0" i="0" u="none" baseline="0">
              <a:solidFill>
                <a:srgbClr val="000000"/>
              </a:solidFill>
              <a:latin typeface="Frutiger-Light"/>
              <a:ea typeface="Frutiger-Light"/>
              <a:cs typeface="Frutiger-Light"/>
            </a:rPr>
            <a:t>N.  Proposed Elevated Storage Tank and Infrastructure Improvements for City of Elsa
</a:t>
          </a:r>
          <a:r>
            <a:rPr lang="en-US" cap="none" sz="1000" b="0" i="0" u="none" baseline="0">
              <a:solidFill>
                <a:srgbClr val="000000"/>
              </a:solidFill>
              <a:latin typeface="Frutiger-Light"/>
              <a:ea typeface="Frutiger-Light"/>
              <a:cs typeface="Frutiger-Light"/>
            </a:rPr>
            <a:t>O.  On-Farm Conservation
</a:t>
          </a:r>
          <a:r>
            <a:rPr lang="en-US" cap="none" sz="1000" b="0" i="0" u="none" baseline="0">
              <a:solidFill>
                <a:srgbClr val="000000"/>
              </a:solidFill>
              <a:latin typeface="Frutiger-Light"/>
              <a:ea typeface="Frutiger-Light"/>
              <a:cs typeface="Frutiger-Light"/>
            </a:rPr>
            <a:t>P.  Conveyance System Conservation
</a:t>
          </a:r>
          <a:r>
            <a:rPr lang="en-US" cap="none" sz="1000" b="0" i="0" u="none" baseline="0">
              <a:solidFill>
                <a:srgbClr val="000000"/>
              </a:solidFill>
              <a:latin typeface="Frutiger-Light"/>
              <a:ea typeface="Frutiger-Light"/>
              <a:cs typeface="Frutiger-Light"/>
            </a:rPr>
            <a:t>
</a:t>
          </a:r>
          <a:r>
            <a:rPr lang="en-US" cap="none" sz="1000" b="0" i="0" u="none" baseline="0">
              <a:solidFill>
                <a:srgbClr val="000000"/>
              </a:solidFill>
              <a:latin typeface="Frutiger-Light"/>
              <a:ea typeface="Frutiger-Light"/>
              <a:cs typeface="Frutiger-Light"/>
            </a:rPr>
            <a:t>This document explains the origin and development of the per-unit cost estimates for Water Management Strategies (WMS)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7" sqref="Q7"/>
    </sheetView>
  </sheetViews>
  <sheetFormatPr defaultColWidth="9.140625" defaultRowHeight="12.75"/>
  <sheetData>
    <row r="1" s="513" customFormat="1" ht="12.75">
      <c r="A1" s="513" t="s">
        <v>251</v>
      </c>
    </row>
  </sheetData>
  <sheetProtection/>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2:L47"/>
  <sheetViews>
    <sheetView zoomScalePageLayoutView="0" workbookViewId="0" topLeftCell="A1">
      <selection activeCell="F16" sqref="F16:L47"/>
    </sheetView>
  </sheetViews>
  <sheetFormatPr defaultColWidth="9.140625" defaultRowHeight="12.75"/>
  <cols>
    <col min="1" max="1" width="11.140625" style="0" customWidth="1"/>
    <col min="2" max="2" width="37.140625" style="0" bestFit="1" customWidth="1"/>
    <col min="3" max="3" width="11.140625" style="0" bestFit="1" customWidth="1"/>
    <col min="8" max="9" width="11.421875" style="0" bestFit="1" customWidth="1"/>
    <col min="10" max="10" width="14.57421875" style="0" bestFit="1" customWidth="1"/>
    <col min="11" max="11" width="12.28125" style="0" bestFit="1" customWidth="1"/>
    <col min="12" max="12" width="14.00390625" style="0" bestFit="1" customWidth="1"/>
  </cols>
  <sheetData>
    <row r="2" spans="1:2" ht="12.75">
      <c r="A2" s="275" t="s">
        <v>201</v>
      </c>
      <c r="B2" s="275"/>
    </row>
    <row r="3" spans="1:3" ht="12.75">
      <c r="A3" s="486" t="s">
        <v>196</v>
      </c>
      <c r="B3" s="486"/>
      <c r="C3" s="486"/>
    </row>
    <row r="4" spans="1:3" ht="13.5" thickBot="1">
      <c r="A4" s="287" t="s">
        <v>2</v>
      </c>
      <c r="B4" s="287" t="s">
        <v>3</v>
      </c>
      <c r="C4" s="331" t="s">
        <v>4</v>
      </c>
    </row>
    <row r="5" spans="1:3" ht="12.75">
      <c r="A5" s="288"/>
      <c r="B5" s="289" t="s">
        <v>40</v>
      </c>
      <c r="C5" s="332"/>
    </row>
    <row r="6" spans="1:3" ht="12.75">
      <c r="A6" s="288">
        <f>A5+1</f>
        <v>1</v>
      </c>
      <c r="B6" s="289" t="s">
        <v>197</v>
      </c>
      <c r="C6" s="433">
        <v>3265444.4150344096</v>
      </c>
    </row>
    <row r="7" spans="1:3" ht="12.75">
      <c r="A7" s="288">
        <f aca="true" t="shared" si="0" ref="A7:A13">A6+1</f>
        <v>2</v>
      </c>
      <c r="B7" s="289" t="s">
        <v>198</v>
      </c>
      <c r="C7" s="425">
        <v>15849753.732133407</v>
      </c>
    </row>
    <row r="8" spans="1:3" ht="12.75">
      <c r="A8" s="288"/>
      <c r="B8" s="333" t="s">
        <v>8</v>
      </c>
      <c r="C8" s="434">
        <f>SUM(C6:C7)</f>
        <v>19115198.147167817</v>
      </c>
    </row>
    <row r="9" spans="1:3" ht="12.75">
      <c r="A9" s="288"/>
      <c r="B9" s="289" t="s">
        <v>9</v>
      </c>
      <c r="C9" s="425"/>
    </row>
    <row r="10" spans="1:3" ht="12.75">
      <c r="A10" s="288">
        <f>A7+1</f>
        <v>3</v>
      </c>
      <c r="B10" s="290" t="s">
        <v>10</v>
      </c>
      <c r="C10" s="435">
        <v>219525</v>
      </c>
    </row>
    <row r="11" spans="1:3" ht="12.75">
      <c r="A11" s="288">
        <f>A10+1</f>
        <v>4</v>
      </c>
      <c r="B11" s="290" t="s">
        <v>11</v>
      </c>
      <c r="C11" s="435">
        <f>C8*0.35</f>
        <v>6690319.351508736</v>
      </c>
    </row>
    <row r="12" spans="1:3" ht="12.75">
      <c r="A12" s="288">
        <f t="shared" si="0"/>
        <v>5</v>
      </c>
      <c r="B12" s="290" t="s">
        <v>12</v>
      </c>
      <c r="C12" s="435">
        <f>C8*0.05</f>
        <v>955759.9073583909</v>
      </c>
    </row>
    <row r="13" spans="1:3" ht="12.75">
      <c r="A13" s="288">
        <f t="shared" si="0"/>
        <v>6</v>
      </c>
      <c r="B13" s="290" t="s">
        <v>13</v>
      </c>
      <c r="C13" s="435">
        <f>C8*0.01</f>
        <v>191151.98147167818</v>
      </c>
    </row>
    <row r="14" spans="1:3" ht="12.75">
      <c r="A14" s="288"/>
      <c r="B14" s="333" t="s">
        <v>14</v>
      </c>
      <c r="C14" s="434">
        <f>SUM(C11:C13)</f>
        <v>7837231.240338805</v>
      </c>
    </row>
    <row r="15" spans="1:3" ht="13.5" thickBot="1">
      <c r="A15" s="285"/>
      <c r="B15" s="285"/>
      <c r="C15" s="285"/>
    </row>
    <row r="16" spans="1:12" ht="12.75">
      <c r="A16" s="285"/>
      <c r="B16" s="285"/>
      <c r="C16" s="285"/>
      <c r="F16" s="489" t="s">
        <v>41</v>
      </c>
      <c r="G16" s="490"/>
      <c r="H16" s="490"/>
      <c r="I16" s="490"/>
      <c r="J16" s="490"/>
      <c r="K16" s="490"/>
      <c r="L16" s="491"/>
    </row>
    <row r="17" spans="1:12" ht="12.75">
      <c r="A17" s="486" t="s">
        <v>192</v>
      </c>
      <c r="B17" s="486"/>
      <c r="C17" s="486"/>
      <c r="D17" s="486"/>
      <c r="F17" s="298"/>
      <c r="G17" s="299"/>
      <c r="H17" s="299"/>
      <c r="I17" s="299"/>
      <c r="J17" s="299"/>
      <c r="K17" s="299"/>
      <c r="L17" s="300"/>
    </row>
    <row r="18" spans="1:12" ht="13.5" thickBot="1">
      <c r="A18" s="286" t="s">
        <v>2</v>
      </c>
      <c r="B18" s="287" t="s">
        <v>3</v>
      </c>
      <c r="C18" s="285"/>
      <c r="F18" s="301"/>
      <c r="G18" s="302" t="s">
        <v>42</v>
      </c>
      <c r="H18" s="303"/>
      <c r="I18" s="303"/>
      <c r="J18" s="303"/>
      <c r="K18" s="303"/>
      <c r="L18" s="304"/>
    </row>
    <row r="19" spans="1:12" ht="12.75">
      <c r="A19" s="288">
        <v>1</v>
      </c>
      <c r="B19" s="289" t="s">
        <v>18</v>
      </c>
      <c r="C19" s="432">
        <v>44047049.95475565</v>
      </c>
      <c r="F19" s="301"/>
      <c r="G19" s="305" t="s">
        <v>21</v>
      </c>
      <c r="H19" s="306"/>
      <c r="I19" s="306"/>
      <c r="J19" s="307">
        <f>C22</f>
        <v>0.06</v>
      </c>
      <c r="K19" s="303"/>
      <c r="L19" s="304"/>
    </row>
    <row r="20" spans="1:12" ht="12.75">
      <c r="A20" s="288">
        <f aca="true" t="shared" si="1" ref="A20:A27">A19+1</f>
        <v>2</v>
      </c>
      <c r="B20" s="289" t="s">
        <v>19</v>
      </c>
      <c r="C20" s="432">
        <v>18059290.481449816</v>
      </c>
      <c r="F20" s="301"/>
      <c r="G20" s="308" t="s">
        <v>23</v>
      </c>
      <c r="H20" s="303"/>
      <c r="I20" s="303"/>
      <c r="J20" s="309">
        <f>C23</f>
        <v>0.005</v>
      </c>
      <c r="K20" s="303"/>
      <c r="L20" s="304"/>
    </row>
    <row r="21" spans="1:12" ht="12.75">
      <c r="A21" s="288">
        <f t="shared" si="1"/>
        <v>3</v>
      </c>
      <c r="B21" s="289" t="s">
        <v>20</v>
      </c>
      <c r="C21" s="432">
        <v>62106340.43620546</v>
      </c>
      <c r="F21" s="301"/>
      <c r="G21" s="308" t="s">
        <v>24</v>
      </c>
      <c r="H21" s="303"/>
      <c r="I21" s="303"/>
      <c r="J21" s="310">
        <f>C24</f>
        <v>20</v>
      </c>
      <c r="K21" s="303"/>
      <c r="L21" s="304"/>
    </row>
    <row r="22" spans="1:12" ht="12.75">
      <c r="A22" s="288">
        <f t="shared" si="1"/>
        <v>4</v>
      </c>
      <c r="B22" s="289" t="s">
        <v>21</v>
      </c>
      <c r="C22">
        <v>0.06</v>
      </c>
      <c r="F22" s="301"/>
      <c r="G22" s="308" t="s">
        <v>26</v>
      </c>
      <c r="H22" s="303"/>
      <c r="I22" s="303"/>
      <c r="J22" s="310">
        <f>C25</f>
        <v>240</v>
      </c>
      <c r="K22" s="303"/>
      <c r="L22" s="304"/>
    </row>
    <row r="23" spans="1:12" ht="12.75">
      <c r="A23" s="288">
        <f t="shared" si="1"/>
        <v>5</v>
      </c>
      <c r="B23" s="289" t="s">
        <v>23</v>
      </c>
      <c r="C23">
        <v>0.005</v>
      </c>
      <c r="F23" s="301"/>
      <c r="G23" s="308" t="s">
        <v>43</v>
      </c>
      <c r="H23" s="303"/>
      <c r="I23" s="303"/>
      <c r="J23" s="311">
        <f>C21</f>
        <v>62106340.43620546</v>
      </c>
      <c r="K23" s="303"/>
      <c r="L23" s="304"/>
    </row>
    <row r="24" spans="1:12" ht="12.75">
      <c r="A24" s="288">
        <f t="shared" si="1"/>
        <v>6</v>
      </c>
      <c r="B24" s="289" t="s">
        <v>24</v>
      </c>
      <c r="C24">
        <v>20</v>
      </c>
      <c r="F24" s="301"/>
      <c r="G24" s="308"/>
      <c r="H24" s="303"/>
      <c r="I24" s="303"/>
      <c r="J24" s="312"/>
      <c r="K24" s="303"/>
      <c r="L24" s="304"/>
    </row>
    <row r="25" spans="1:12" ht="12.75">
      <c r="A25" s="288">
        <f t="shared" si="1"/>
        <v>7</v>
      </c>
      <c r="B25" s="289" t="s">
        <v>26</v>
      </c>
      <c r="C25">
        <v>240</v>
      </c>
      <c r="F25" s="301"/>
      <c r="G25" s="308" t="s">
        <v>44</v>
      </c>
      <c r="H25" s="303"/>
      <c r="I25" s="303"/>
      <c r="J25" s="313">
        <f>PMT(J20,J22,J23)*-1</f>
        <v>444949.1121691593</v>
      </c>
      <c r="K25" s="303"/>
      <c r="L25" s="304"/>
    </row>
    <row r="26" spans="1:12" ht="12.75">
      <c r="A26" s="288">
        <f t="shared" si="1"/>
        <v>8</v>
      </c>
      <c r="B26" s="289" t="s">
        <v>27</v>
      </c>
      <c r="C26" s="273">
        <v>444949.1121691663</v>
      </c>
      <c r="F26" s="301"/>
      <c r="G26" s="308" t="s">
        <v>45</v>
      </c>
      <c r="H26" s="303"/>
      <c r="I26" s="303"/>
      <c r="J26" s="313">
        <f>J25*12</f>
        <v>5339389.346029911</v>
      </c>
      <c r="K26" s="303"/>
      <c r="L26" s="304"/>
    </row>
    <row r="27" spans="1:12" ht="12.75">
      <c r="A27" s="288">
        <f t="shared" si="1"/>
        <v>9</v>
      </c>
      <c r="B27" s="289" t="s">
        <v>28</v>
      </c>
      <c r="C27" s="273">
        <v>5339389.346029996</v>
      </c>
      <c r="F27" s="301"/>
      <c r="G27" s="314" t="s">
        <v>46</v>
      </c>
      <c r="H27" s="315"/>
      <c r="I27" s="315"/>
      <c r="J27" s="316">
        <f>J26*J21</f>
        <v>106787786.92059822</v>
      </c>
      <c r="K27" s="303"/>
      <c r="L27" s="304"/>
    </row>
    <row r="28" spans="1:12" ht="12.75">
      <c r="A28" s="288">
        <v>10</v>
      </c>
      <c r="B28" s="290" t="s">
        <v>29</v>
      </c>
      <c r="C28" s="273">
        <v>2478726.5696318443</v>
      </c>
      <c r="F28" s="301"/>
      <c r="G28" s="303"/>
      <c r="H28" s="303"/>
      <c r="I28" s="303"/>
      <c r="J28" s="303"/>
      <c r="K28" s="303"/>
      <c r="L28" s="304"/>
    </row>
    <row r="29" spans="1:12" ht="12.75">
      <c r="A29" s="285"/>
      <c r="B29" s="285"/>
      <c r="F29" s="301" t="s">
        <v>47</v>
      </c>
      <c r="G29" s="303"/>
      <c r="H29" s="303"/>
      <c r="I29" s="303"/>
      <c r="J29" s="303"/>
      <c r="K29" s="303"/>
      <c r="L29" s="304"/>
    </row>
    <row r="30" spans="6:12" ht="24">
      <c r="F30" s="492" t="s">
        <v>48</v>
      </c>
      <c r="G30" s="487" t="s">
        <v>49</v>
      </c>
      <c r="H30" s="317" t="s">
        <v>50</v>
      </c>
      <c r="I30" s="317" t="s">
        <v>51</v>
      </c>
      <c r="J30" s="317" t="s">
        <v>52</v>
      </c>
      <c r="K30" s="317" t="s">
        <v>53</v>
      </c>
      <c r="L30" s="318" t="s">
        <v>67</v>
      </c>
    </row>
    <row r="31" spans="1:12" ht="14.25" thickBot="1">
      <c r="A31" s="286" t="s">
        <v>2</v>
      </c>
      <c r="B31" s="287" t="s">
        <v>3</v>
      </c>
      <c r="F31" s="493"/>
      <c r="G31" s="488"/>
      <c r="H31" s="287" t="s">
        <v>69</v>
      </c>
      <c r="I31" s="287" t="s">
        <v>70</v>
      </c>
      <c r="J31" s="287" t="s">
        <v>71</v>
      </c>
      <c r="K31" s="287" t="s">
        <v>72</v>
      </c>
      <c r="L31" s="319"/>
    </row>
    <row r="32" spans="1:12" ht="12.75">
      <c r="A32" s="288"/>
      <c r="B32" s="289" t="s">
        <v>31</v>
      </c>
      <c r="F32" s="320" t="s">
        <v>54</v>
      </c>
      <c r="G32" s="291">
        <v>1</v>
      </c>
      <c r="H32" s="321">
        <f>PPMT($J$20,G32,$J$22,$J$23)*-1</f>
        <v>134417.40998813199</v>
      </c>
      <c r="I32" s="321">
        <f>J32-H32</f>
        <v>310531.70218102727</v>
      </c>
      <c r="J32" s="321">
        <f>$J$25</f>
        <v>444949.1121691593</v>
      </c>
      <c r="K32" s="321">
        <f>$J$23-H32</f>
        <v>61971923.02621733</v>
      </c>
      <c r="L32" s="322">
        <f>K32*(0.04/12)</f>
        <v>206573.07675405778</v>
      </c>
    </row>
    <row r="33" spans="1:12" ht="12.75">
      <c r="A33" s="288"/>
      <c r="B33" s="290"/>
      <c r="F33" s="323" t="s">
        <v>55</v>
      </c>
      <c r="G33" s="324">
        <f>G32+1</f>
        <v>2</v>
      </c>
      <c r="H33" s="321">
        <f aca="true" t="shared" si="2" ref="H33:H43">PPMT($J$20,G33,$J$22,$J$23)*-1</f>
        <v>135089.49703807264</v>
      </c>
      <c r="I33" s="321">
        <f aca="true" t="shared" si="3" ref="I33:I43">J33-H33</f>
        <v>309859.61513108667</v>
      </c>
      <c r="J33" s="321">
        <f aca="true" t="shared" si="4" ref="J33:J43">$J$25</f>
        <v>444949.1121691593</v>
      </c>
      <c r="K33" s="321">
        <f aca="true" t="shared" si="5" ref="K33:K43">$J$23-H33</f>
        <v>61971250.93916739</v>
      </c>
      <c r="L33" s="322">
        <f aca="true" t="shared" si="6" ref="L33:L43">K33*(0.04/12)</f>
        <v>206570.83646389132</v>
      </c>
    </row>
    <row r="34" spans="1:12" ht="12.75">
      <c r="A34" s="288">
        <f>A33+1</f>
        <v>1</v>
      </c>
      <c r="B34" s="290" t="s">
        <v>193</v>
      </c>
      <c r="C34" s="273">
        <v>1618672.2630548615</v>
      </c>
      <c r="F34" s="323" t="s">
        <v>56</v>
      </c>
      <c r="G34" s="324">
        <f aca="true" t="shared" si="7" ref="G34:G43">G33+1</f>
        <v>3</v>
      </c>
      <c r="H34" s="321">
        <f t="shared" si="2"/>
        <v>135764.94452326297</v>
      </c>
      <c r="I34" s="321">
        <f t="shared" si="3"/>
        <v>309184.1676458963</v>
      </c>
      <c r="J34" s="321">
        <f t="shared" si="4"/>
        <v>444949.1121691593</v>
      </c>
      <c r="K34" s="321">
        <f t="shared" si="5"/>
        <v>61970575.4916822</v>
      </c>
      <c r="L34" s="322">
        <f t="shared" si="6"/>
        <v>206568.58497227402</v>
      </c>
    </row>
    <row r="35" spans="1:12" ht="12.75">
      <c r="A35" s="288">
        <f>A34+1</f>
        <v>2</v>
      </c>
      <c r="B35" s="290" t="s">
        <v>194</v>
      </c>
      <c r="C35" s="273">
        <v>3652129.293517532</v>
      </c>
      <c r="F35" s="323" t="s">
        <v>57</v>
      </c>
      <c r="G35" s="324">
        <f t="shared" si="7"/>
        <v>4</v>
      </c>
      <c r="H35" s="321">
        <f t="shared" si="2"/>
        <v>136443.76924587932</v>
      </c>
      <c r="I35" s="321">
        <f t="shared" si="3"/>
        <v>308505.34292327997</v>
      </c>
      <c r="J35" s="321">
        <f t="shared" si="4"/>
        <v>444949.1121691593</v>
      </c>
      <c r="K35" s="321">
        <f t="shared" si="5"/>
        <v>61969896.666959584</v>
      </c>
      <c r="L35" s="322">
        <f t="shared" si="6"/>
        <v>206566.32222319863</v>
      </c>
    </row>
    <row r="36" spans="1:12" ht="12.75">
      <c r="A36" s="291"/>
      <c r="B36" s="292" t="s">
        <v>32</v>
      </c>
      <c r="C36" s="273">
        <v>5270801.5565723935</v>
      </c>
      <c r="F36" s="323" t="s">
        <v>58</v>
      </c>
      <c r="G36" s="324">
        <f t="shared" si="7"/>
        <v>5</v>
      </c>
      <c r="H36" s="321">
        <f t="shared" si="2"/>
        <v>137125.9880921087</v>
      </c>
      <c r="I36" s="321">
        <f t="shared" si="3"/>
        <v>307823.1240770506</v>
      </c>
      <c r="J36" s="321">
        <f t="shared" si="4"/>
        <v>444949.1121691593</v>
      </c>
      <c r="K36" s="321">
        <f t="shared" si="5"/>
        <v>61969214.44811335</v>
      </c>
      <c r="L36" s="322">
        <f t="shared" si="6"/>
        <v>206564.04816037786</v>
      </c>
    </row>
    <row r="37" spans="1:12" ht="12.75">
      <c r="A37" s="288"/>
      <c r="B37" s="293" t="s">
        <v>33</v>
      </c>
      <c r="F37" s="323" t="s">
        <v>59</v>
      </c>
      <c r="G37" s="324">
        <f t="shared" si="7"/>
        <v>6</v>
      </c>
      <c r="H37" s="321">
        <f t="shared" si="2"/>
        <v>137811.61803256924</v>
      </c>
      <c r="I37" s="321">
        <f t="shared" si="3"/>
        <v>307137.49413659004</v>
      </c>
      <c r="J37" s="321">
        <f t="shared" si="4"/>
        <v>444949.1121691593</v>
      </c>
      <c r="K37" s="321">
        <f t="shared" si="5"/>
        <v>61968528.818172894</v>
      </c>
      <c r="L37" s="322">
        <f t="shared" si="6"/>
        <v>206561.76272724298</v>
      </c>
    </row>
    <row r="38" spans="1:12" ht="12.75">
      <c r="A38" s="288">
        <f>A35+1</f>
        <v>3</v>
      </c>
      <c r="B38" s="294" t="s">
        <v>195</v>
      </c>
      <c r="C38">
        <v>21.890074050851833</v>
      </c>
      <c r="F38" s="323" t="s">
        <v>60</v>
      </c>
      <c r="G38" s="324">
        <f t="shared" si="7"/>
        <v>7</v>
      </c>
      <c r="H38" s="321">
        <f t="shared" si="2"/>
        <v>138500.67612273208</v>
      </c>
      <c r="I38" s="321">
        <f t="shared" si="3"/>
        <v>306448.43604642723</v>
      </c>
      <c r="J38" s="321">
        <f t="shared" si="4"/>
        <v>444949.1121691593</v>
      </c>
      <c r="K38" s="321">
        <f t="shared" si="5"/>
        <v>61967839.76008273</v>
      </c>
      <c r="L38" s="322">
        <f t="shared" si="6"/>
        <v>206559.46586694245</v>
      </c>
    </row>
    <row r="39" spans="1:12" ht="12.75">
      <c r="A39" s="288">
        <f>A38+1</f>
        <v>4</v>
      </c>
      <c r="B39" s="290" t="s">
        <v>35</v>
      </c>
      <c r="C39">
        <v>7989877.02856092</v>
      </c>
      <c r="F39" s="323" t="s">
        <v>61</v>
      </c>
      <c r="G39" s="324">
        <f t="shared" si="7"/>
        <v>8</v>
      </c>
      <c r="H39" s="321">
        <f t="shared" si="2"/>
        <v>139193.17950334577</v>
      </c>
      <c r="I39" s="321">
        <f t="shared" si="3"/>
        <v>305755.9326658135</v>
      </c>
      <c r="J39" s="321">
        <f t="shared" si="4"/>
        <v>444949.1121691593</v>
      </c>
      <c r="K39" s="321">
        <f t="shared" si="5"/>
        <v>61967147.25670212</v>
      </c>
      <c r="L39" s="322">
        <f t="shared" si="6"/>
        <v>206557.1575223404</v>
      </c>
    </row>
    <row r="40" spans="1:12" ht="12.75">
      <c r="A40" s="291">
        <f>A39+1</f>
        <v>5</v>
      </c>
      <c r="B40" s="295" t="s">
        <v>36</v>
      </c>
      <c r="C40">
        <v>24520</v>
      </c>
      <c r="F40" s="323" t="s">
        <v>62</v>
      </c>
      <c r="G40" s="324">
        <f t="shared" si="7"/>
        <v>9</v>
      </c>
      <c r="H40" s="321">
        <f t="shared" si="2"/>
        <v>139889.14540086247</v>
      </c>
      <c r="I40" s="321">
        <f t="shared" si="3"/>
        <v>305059.9667682968</v>
      </c>
      <c r="J40" s="321">
        <f t="shared" si="4"/>
        <v>444949.1121691593</v>
      </c>
      <c r="K40" s="321">
        <f t="shared" si="5"/>
        <v>61966451.2908046</v>
      </c>
      <c r="L40" s="322">
        <f t="shared" si="6"/>
        <v>206554.83763601535</v>
      </c>
    </row>
    <row r="41" spans="1:12" ht="12.75">
      <c r="A41" s="288"/>
      <c r="B41" s="289" t="s">
        <v>37</v>
      </c>
      <c r="F41" s="323" t="s">
        <v>63</v>
      </c>
      <c r="G41" s="324">
        <f t="shared" si="7"/>
        <v>10</v>
      </c>
      <c r="H41" s="321">
        <f t="shared" si="2"/>
        <v>140588.59112786676</v>
      </c>
      <c r="I41" s="321">
        <f t="shared" si="3"/>
        <v>304360.5210412925</v>
      </c>
      <c r="J41" s="321">
        <f t="shared" si="4"/>
        <v>444949.1121691593</v>
      </c>
      <c r="K41" s="321">
        <f t="shared" si="5"/>
        <v>61965751.8450776</v>
      </c>
      <c r="L41" s="322">
        <f t="shared" si="6"/>
        <v>206552.50615025868</v>
      </c>
    </row>
    <row r="42" spans="1:12" ht="12.75">
      <c r="A42" s="288">
        <f>A40+1</f>
        <v>6</v>
      </c>
      <c r="B42" s="290" t="s">
        <v>38</v>
      </c>
      <c r="C42" s="359">
        <v>0.6596849410486776</v>
      </c>
      <c r="F42" s="323" t="s">
        <v>64</v>
      </c>
      <c r="G42" s="324">
        <f t="shared" si="7"/>
        <v>11</v>
      </c>
      <c r="H42" s="321">
        <f t="shared" si="2"/>
        <v>141291.53408350612</v>
      </c>
      <c r="I42" s="321">
        <f t="shared" si="3"/>
        <v>303657.57808565313</v>
      </c>
      <c r="J42" s="321">
        <f t="shared" si="4"/>
        <v>444949.1121691593</v>
      </c>
      <c r="K42" s="321">
        <f t="shared" si="5"/>
        <v>61965048.90212195</v>
      </c>
      <c r="L42" s="322">
        <f t="shared" si="6"/>
        <v>206550.1630070732</v>
      </c>
    </row>
    <row r="43" spans="1:12" ht="12.75">
      <c r="A43" s="296">
        <f>A42+1</f>
        <v>7</v>
      </c>
      <c r="B43" s="297" t="s">
        <v>39</v>
      </c>
      <c r="C43" s="359">
        <v>214.9592804474875</v>
      </c>
      <c r="F43" s="323" t="s">
        <v>65</v>
      </c>
      <c r="G43" s="324">
        <f t="shared" si="7"/>
        <v>12</v>
      </c>
      <c r="H43" s="321">
        <f t="shared" si="2"/>
        <v>141997.99175392365</v>
      </c>
      <c r="I43" s="321">
        <f t="shared" si="3"/>
        <v>302951.12041523564</v>
      </c>
      <c r="J43" s="321">
        <f t="shared" si="4"/>
        <v>444949.1121691593</v>
      </c>
      <c r="K43" s="321">
        <f t="shared" si="5"/>
        <v>61964342.44445154</v>
      </c>
      <c r="L43" s="322">
        <f t="shared" si="6"/>
        <v>206547.8081481718</v>
      </c>
    </row>
    <row r="44" spans="6:12" ht="12.75">
      <c r="F44" s="301"/>
      <c r="G44" s="303"/>
      <c r="H44" s="303"/>
      <c r="I44" s="303"/>
      <c r="J44" s="303"/>
      <c r="K44" s="303"/>
      <c r="L44" s="325"/>
    </row>
    <row r="45" spans="6:12" ht="13.5" thickBot="1">
      <c r="F45" s="326" t="s">
        <v>66</v>
      </c>
      <c r="G45" s="286"/>
      <c r="H45" s="327">
        <f>SUM(H32:H43)</f>
        <v>1658114.3449122617</v>
      </c>
      <c r="I45" s="327">
        <f>SUM(I32:I43)</f>
        <v>3681275.0011176495</v>
      </c>
      <c r="J45" s="327">
        <f>SUM(J32:J43)</f>
        <v>5339389.346029911</v>
      </c>
      <c r="K45" s="327"/>
      <c r="L45" s="328">
        <f>SUM(L32:L43)</f>
        <v>2478726.5696318443</v>
      </c>
    </row>
    <row r="46" spans="6:12" ht="12.75">
      <c r="F46" s="285"/>
      <c r="G46" s="285"/>
      <c r="H46" s="285"/>
      <c r="I46" s="285"/>
      <c r="J46" s="285"/>
      <c r="K46" s="285"/>
      <c r="L46" s="285"/>
    </row>
    <row r="47" spans="6:12" ht="12.75">
      <c r="F47" s="329" t="s">
        <v>68</v>
      </c>
      <c r="G47" s="285"/>
      <c r="H47" s="285"/>
      <c r="I47" s="285"/>
      <c r="J47" s="285"/>
      <c r="K47" s="285"/>
      <c r="L47" s="330">
        <f>J23+I45-L45</f>
        <v>63308888.86769126</v>
      </c>
    </row>
  </sheetData>
  <sheetProtection/>
  <mergeCells count="5">
    <mergeCell ref="A3:C3"/>
    <mergeCell ref="A17:D17"/>
    <mergeCell ref="G30:G31"/>
    <mergeCell ref="F16:L16"/>
    <mergeCell ref="F30:F3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L48"/>
  <sheetViews>
    <sheetView zoomScalePageLayoutView="0" workbookViewId="0" topLeftCell="A1">
      <selection activeCell="F17" sqref="F17:L48"/>
    </sheetView>
  </sheetViews>
  <sheetFormatPr defaultColWidth="9.140625" defaultRowHeight="12.75"/>
  <cols>
    <col min="2" max="2" width="37.140625" style="0" bestFit="1" customWidth="1"/>
    <col min="3" max="3" width="10.140625" style="0" bestFit="1" customWidth="1"/>
    <col min="8" max="9" width="11.421875" style="0" bestFit="1" customWidth="1"/>
    <col min="10" max="10" width="13.28125" style="0" bestFit="1" customWidth="1"/>
    <col min="11" max="11" width="12.00390625" style="0" bestFit="1" customWidth="1"/>
    <col min="12" max="12" width="14.00390625" style="0" bestFit="1" customWidth="1"/>
  </cols>
  <sheetData>
    <row r="1" spans="1:3" ht="24" customHeight="1" thickBot="1">
      <c r="A1" s="461" t="s">
        <v>86</v>
      </c>
      <c r="B1" s="461"/>
      <c r="C1" s="461"/>
    </row>
    <row r="2" spans="1:3" ht="13.5" thickBot="1">
      <c r="A2" s="3" t="s">
        <v>2</v>
      </c>
      <c r="B2" s="3" t="s">
        <v>3</v>
      </c>
      <c r="C2" s="4" t="s">
        <v>4</v>
      </c>
    </row>
    <row r="3" spans="1:3" ht="12.75">
      <c r="A3" s="5"/>
      <c r="B3" s="6" t="s">
        <v>40</v>
      </c>
      <c r="C3" s="6"/>
    </row>
    <row r="4" spans="1:3" ht="12.75">
      <c r="A4" s="5">
        <v>1</v>
      </c>
      <c r="B4" s="10" t="s">
        <v>87</v>
      </c>
      <c r="C4" s="436">
        <v>34026480</v>
      </c>
    </row>
    <row r="5" spans="1:3" ht="12.75">
      <c r="A5" s="5">
        <v>2</v>
      </c>
      <c r="B5" s="10" t="s">
        <v>88</v>
      </c>
      <c r="C5" s="436">
        <v>32654444</v>
      </c>
    </row>
    <row r="6" spans="1:3" ht="13.5" thickBot="1">
      <c r="A6" s="5">
        <v>3</v>
      </c>
      <c r="B6" s="10" t="s">
        <v>89</v>
      </c>
      <c r="C6" s="436">
        <v>1632722</v>
      </c>
    </row>
    <row r="7" spans="1:3" ht="12.75">
      <c r="A7" s="5"/>
      <c r="B7" s="9" t="s">
        <v>8</v>
      </c>
      <c r="C7" s="437">
        <f>SUM(C4:C6)</f>
        <v>68313646</v>
      </c>
    </row>
    <row r="8" spans="1:3" ht="12.75">
      <c r="A8" s="5"/>
      <c r="B8" s="6" t="s">
        <v>9</v>
      </c>
      <c r="C8" s="438"/>
    </row>
    <row r="9" spans="1:3" ht="12.75">
      <c r="A9" s="5">
        <v>4</v>
      </c>
      <c r="B9" s="10" t="s">
        <v>10</v>
      </c>
      <c r="C9" s="438">
        <v>219525</v>
      </c>
    </row>
    <row r="10" spans="1:3" ht="12.75">
      <c r="A10" s="5">
        <v>5</v>
      </c>
      <c r="B10" s="10" t="s">
        <v>11</v>
      </c>
      <c r="C10" s="438">
        <v>23909776</v>
      </c>
    </row>
    <row r="11" spans="1:3" ht="12.75">
      <c r="A11" s="5">
        <v>6</v>
      </c>
      <c r="B11" s="10" t="s">
        <v>12</v>
      </c>
      <c r="C11" s="438">
        <v>3415682</v>
      </c>
    </row>
    <row r="12" spans="1:3" ht="13.5" thickBot="1">
      <c r="A12" s="5">
        <v>7</v>
      </c>
      <c r="B12" s="10" t="s">
        <v>13</v>
      </c>
      <c r="C12" s="438">
        <v>683136</v>
      </c>
    </row>
    <row r="13" spans="1:3" ht="12.75">
      <c r="A13" s="5"/>
      <c r="B13" s="9" t="s">
        <v>14</v>
      </c>
      <c r="C13" s="437">
        <f>SUM(C9:C12)</f>
        <v>28228119</v>
      </c>
    </row>
    <row r="14" ht="15">
      <c r="A14" s="2"/>
    </row>
    <row r="15" spans="1:3" ht="13.5" thickBot="1">
      <c r="A15" s="461" t="s">
        <v>90</v>
      </c>
      <c r="B15" s="461"/>
      <c r="C15" s="461"/>
    </row>
    <row r="16" spans="1:3" ht="13.5" thickBot="1">
      <c r="A16" s="11" t="s">
        <v>2</v>
      </c>
      <c r="B16" s="3" t="s">
        <v>3</v>
      </c>
      <c r="C16" s="3" t="s">
        <v>16</v>
      </c>
    </row>
    <row r="17" spans="1:12" ht="24" customHeight="1">
      <c r="A17" s="5">
        <v>1</v>
      </c>
      <c r="B17" s="6" t="s">
        <v>18</v>
      </c>
      <c r="C17" s="436">
        <f>C7</f>
        <v>68313646</v>
      </c>
      <c r="F17" s="498" t="s">
        <v>41</v>
      </c>
      <c r="G17" s="499"/>
      <c r="H17" s="499"/>
      <c r="I17" s="499"/>
      <c r="J17" s="499"/>
      <c r="K17" s="499"/>
      <c r="L17" s="500"/>
    </row>
    <row r="18" spans="1:12" ht="12.75">
      <c r="A18" s="5">
        <v>2</v>
      </c>
      <c r="B18" s="6" t="s">
        <v>78</v>
      </c>
      <c r="C18" s="436">
        <f>C13</f>
        <v>28228119</v>
      </c>
      <c r="F18" s="143"/>
      <c r="G18" s="144"/>
      <c r="H18" s="144"/>
      <c r="I18" s="144"/>
      <c r="J18" s="144"/>
      <c r="K18" s="144"/>
      <c r="L18" s="145"/>
    </row>
    <row r="19" spans="1:12" ht="12.75">
      <c r="A19" s="5">
        <v>3</v>
      </c>
      <c r="B19" s="6" t="s">
        <v>20</v>
      </c>
      <c r="C19" s="436">
        <f>C7+C13</f>
        <v>96541765</v>
      </c>
      <c r="F19" s="146"/>
      <c r="G19" s="147" t="s">
        <v>42</v>
      </c>
      <c r="H19" s="148"/>
      <c r="I19" s="148"/>
      <c r="J19" s="148"/>
      <c r="K19" s="148"/>
      <c r="L19" s="149"/>
    </row>
    <row r="20" spans="1:12" ht="12.75">
      <c r="A20" s="5">
        <v>4</v>
      </c>
      <c r="B20" s="6" t="s">
        <v>21</v>
      </c>
      <c r="C20" s="12">
        <v>0.06</v>
      </c>
      <c r="F20" s="146"/>
      <c r="G20" s="150" t="s">
        <v>21</v>
      </c>
      <c r="H20" s="151"/>
      <c r="I20" s="151"/>
      <c r="J20" s="152">
        <v>0.06</v>
      </c>
      <c r="K20" s="148"/>
      <c r="L20" s="149"/>
    </row>
    <row r="21" spans="1:12" ht="12.75">
      <c r="A21" s="5">
        <v>5</v>
      </c>
      <c r="B21" s="6" t="s">
        <v>23</v>
      </c>
      <c r="C21" s="12">
        <f>C20/12</f>
        <v>0.005</v>
      </c>
      <c r="F21" s="146"/>
      <c r="G21" s="153" t="s">
        <v>23</v>
      </c>
      <c r="H21" s="148"/>
      <c r="I21" s="148"/>
      <c r="J21" s="154">
        <v>0.005</v>
      </c>
      <c r="K21" s="148"/>
      <c r="L21" s="149"/>
    </row>
    <row r="22" spans="1:12" ht="12.75">
      <c r="A22" s="5">
        <v>6</v>
      </c>
      <c r="B22" s="6" t="s">
        <v>24</v>
      </c>
      <c r="C22" s="12">
        <v>20</v>
      </c>
      <c r="F22" s="146"/>
      <c r="G22" s="153" t="s">
        <v>24</v>
      </c>
      <c r="H22" s="148"/>
      <c r="I22" s="148"/>
      <c r="J22" s="155">
        <v>20</v>
      </c>
      <c r="K22" s="148"/>
      <c r="L22" s="149"/>
    </row>
    <row r="23" spans="1:12" ht="12.75">
      <c r="A23" s="5">
        <v>7</v>
      </c>
      <c r="B23" s="6" t="s">
        <v>26</v>
      </c>
      <c r="C23" s="12">
        <v>240</v>
      </c>
      <c r="F23" s="146"/>
      <c r="G23" s="153" t="s">
        <v>26</v>
      </c>
      <c r="H23" s="148"/>
      <c r="I23" s="148"/>
      <c r="J23" s="155">
        <v>240</v>
      </c>
      <c r="K23" s="148"/>
      <c r="L23" s="149"/>
    </row>
    <row r="24" spans="1:12" ht="12.75">
      <c r="A24" s="5">
        <v>8</v>
      </c>
      <c r="B24" s="6" t="s">
        <v>27</v>
      </c>
      <c r="C24" s="436">
        <f>PMT(C21,C23,C19)*-1</f>
        <v>691655.1888630026</v>
      </c>
      <c r="F24" s="146"/>
      <c r="G24" s="153" t="s">
        <v>43</v>
      </c>
      <c r="H24" s="148"/>
      <c r="I24" s="148"/>
      <c r="J24" s="440">
        <f>C19</f>
        <v>96541765</v>
      </c>
      <c r="K24" s="148"/>
      <c r="L24" s="149"/>
    </row>
    <row r="25" spans="1:12" ht="12.75">
      <c r="A25" s="5">
        <v>9</v>
      </c>
      <c r="B25" s="6" t="s">
        <v>28</v>
      </c>
      <c r="C25" s="436">
        <f>C24*12</f>
        <v>8299862.2663560305</v>
      </c>
      <c r="F25" s="146"/>
      <c r="G25" s="153"/>
      <c r="H25" s="148"/>
      <c r="I25" s="148"/>
      <c r="J25" s="157"/>
      <c r="K25" s="148"/>
      <c r="L25" s="149"/>
    </row>
    <row r="26" spans="1:12" ht="12.75">
      <c r="A26" s="5">
        <v>10</v>
      </c>
      <c r="B26" s="10" t="s">
        <v>29</v>
      </c>
      <c r="C26" s="436">
        <f>L46</f>
        <v>3853079.030319925</v>
      </c>
      <c r="F26" s="146"/>
      <c r="G26" s="153" t="s">
        <v>44</v>
      </c>
      <c r="H26" s="148"/>
      <c r="I26" s="148"/>
      <c r="J26" s="158">
        <f>PMT(J21,J23,J24)*-1</f>
        <v>691655.1888630026</v>
      </c>
      <c r="K26" s="148"/>
      <c r="L26" s="149"/>
    </row>
    <row r="27" spans="1:12" ht="15">
      <c r="A27" s="2"/>
      <c r="F27" s="146"/>
      <c r="G27" s="153" t="s">
        <v>45</v>
      </c>
      <c r="H27" s="148"/>
      <c r="I27" s="148"/>
      <c r="J27" s="158">
        <f>J26*12</f>
        <v>8299862.2663560305</v>
      </c>
      <c r="K27" s="148"/>
      <c r="L27" s="149"/>
    </row>
    <row r="28" spans="1:12" ht="12.75">
      <c r="A28" s="462" t="s">
        <v>91</v>
      </c>
      <c r="B28" s="462"/>
      <c r="C28" s="462"/>
      <c r="F28" s="146"/>
      <c r="G28" s="159" t="s">
        <v>46</v>
      </c>
      <c r="H28" s="160"/>
      <c r="I28" s="160"/>
      <c r="J28" s="161">
        <f>J27*J22</f>
        <v>165997245.3271206</v>
      </c>
      <c r="K28" s="148"/>
      <c r="L28" s="149"/>
    </row>
    <row r="29" spans="1:12" ht="13.5" thickBot="1">
      <c r="A29" s="11" t="s">
        <v>2</v>
      </c>
      <c r="B29" s="3" t="s">
        <v>3</v>
      </c>
      <c r="C29" s="3" t="s">
        <v>16</v>
      </c>
      <c r="F29" s="146"/>
      <c r="G29" s="148"/>
      <c r="H29" s="148"/>
      <c r="I29" s="148"/>
      <c r="J29" s="148"/>
      <c r="K29" s="148"/>
      <c r="L29" s="149"/>
    </row>
    <row r="30" spans="1:12" ht="12.75">
      <c r="A30" s="5"/>
      <c r="B30" s="6" t="s">
        <v>31</v>
      </c>
      <c r="C30" s="12"/>
      <c r="F30" s="146" t="s">
        <v>47</v>
      </c>
      <c r="G30" s="148"/>
      <c r="H30" s="148"/>
      <c r="I30" s="148"/>
      <c r="J30" s="148"/>
      <c r="K30" s="148"/>
      <c r="L30" s="149"/>
    </row>
    <row r="31" spans="1:12" ht="26.25" customHeight="1">
      <c r="A31" s="5"/>
      <c r="B31" s="10"/>
      <c r="C31" s="8"/>
      <c r="F31" s="494" t="s">
        <v>48</v>
      </c>
      <c r="G31" s="496" t="s">
        <v>49</v>
      </c>
      <c r="H31" s="162" t="s">
        <v>50</v>
      </c>
      <c r="I31" s="162" t="s">
        <v>51</v>
      </c>
      <c r="J31" s="162" t="s">
        <v>52</v>
      </c>
      <c r="K31" s="162" t="s">
        <v>53</v>
      </c>
      <c r="L31" s="163" t="s">
        <v>67</v>
      </c>
    </row>
    <row r="32" spans="1:12" ht="18" customHeight="1" thickBot="1">
      <c r="A32" s="5">
        <v>2</v>
      </c>
      <c r="B32" s="10" t="s">
        <v>92</v>
      </c>
      <c r="C32" s="436">
        <v>3265444</v>
      </c>
      <c r="F32" s="495"/>
      <c r="G32" s="497"/>
      <c r="H32" s="164" t="s">
        <v>69</v>
      </c>
      <c r="I32" s="164" t="s">
        <v>70</v>
      </c>
      <c r="J32" s="164" t="s">
        <v>71</v>
      </c>
      <c r="K32" s="164" t="s">
        <v>72</v>
      </c>
      <c r="L32" s="165"/>
    </row>
    <row r="33" spans="1:12" ht="12.75">
      <c r="A33" s="5">
        <v>3</v>
      </c>
      <c r="B33" s="10" t="s">
        <v>93</v>
      </c>
      <c r="C33" s="436">
        <v>510397</v>
      </c>
      <c r="F33" s="166" t="s">
        <v>54</v>
      </c>
      <c r="G33" s="167">
        <v>1</v>
      </c>
      <c r="H33" s="168">
        <f>PPMT($J$21,G33,$J$23,$J$24)*-1</f>
        <v>208946.36386300248</v>
      </c>
      <c r="I33" s="168">
        <f>J33-H33</f>
        <v>482708.82500000007</v>
      </c>
      <c r="J33" s="168">
        <f>$J$26</f>
        <v>691655.1888630026</v>
      </c>
      <c r="K33" s="169">
        <f>$J$24-H33</f>
        <v>96332818.636137</v>
      </c>
      <c r="L33" s="170">
        <f>K33*(0.04/12)</f>
        <v>321109.39545379</v>
      </c>
    </row>
    <row r="34" spans="1:12" ht="13.5" thickBot="1">
      <c r="A34" s="3"/>
      <c r="B34" s="13" t="s">
        <v>32</v>
      </c>
      <c r="C34" s="439">
        <f>SUM(C32:C33)</f>
        <v>3775841</v>
      </c>
      <c r="F34" s="171" t="s">
        <v>55</v>
      </c>
      <c r="G34" s="172">
        <v>2</v>
      </c>
      <c r="H34" s="168">
        <f aca="true" t="shared" si="0" ref="H34:H44">PPMT($J$21,G34,$J$23,$J$24)*-1</f>
        <v>209991.0956823175</v>
      </c>
      <c r="I34" s="168">
        <f aca="true" t="shared" si="1" ref="I34:I44">J34-H34</f>
        <v>481664.0931806851</v>
      </c>
      <c r="J34" s="168">
        <f aca="true" t="shared" si="2" ref="J34:J44">$J$26</f>
        <v>691655.1888630026</v>
      </c>
      <c r="K34" s="169">
        <f aca="true" t="shared" si="3" ref="K34:K44">$J$24-H34</f>
        <v>96331773.90431768</v>
      </c>
      <c r="L34" s="170">
        <f aca="true" t="shared" si="4" ref="L34:L44">K34*(0.04/12)</f>
        <v>321105.91301439225</v>
      </c>
    </row>
    <row r="35" spans="1:12" ht="12.75">
      <c r="A35" s="5"/>
      <c r="B35" s="6" t="s">
        <v>33</v>
      </c>
      <c r="C35" s="12"/>
      <c r="F35" s="171" t="s">
        <v>56</v>
      </c>
      <c r="G35" s="172">
        <v>3</v>
      </c>
      <c r="H35" s="168">
        <f t="shared" si="0"/>
        <v>211041.05116072908</v>
      </c>
      <c r="I35" s="168">
        <f t="shared" si="1"/>
        <v>480614.1377022735</v>
      </c>
      <c r="J35" s="168">
        <f t="shared" si="2"/>
        <v>691655.1888630026</v>
      </c>
      <c r="K35" s="169">
        <f t="shared" si="3"/>
        <v>96330723.94883928</v>
      </c>
      <c r="L35" s="170">
        <f t="shared" si="4"/>
        <v>321102.41316279763</v>
      </c>
    </row>
    <row r="36" spans="1:12" ht="12.75">
      <c r="A36" s="5">
        <v>4</v>
      </c>
      <c r="B36" s="10" t="s">
        <v>34</v>
      </c>
      <c r="C36" s="12">
        <v>18.43</v>
      </c>
      <c r="F36" s="171" t="s">
        <v>57</v>
      </c>
      <c r="G36" s="172">
        <v>4</v>
      </c>
      <c r="H36" s="168">
        <f t="shared" si="0"/>
        <v>212096.25641653273</v>
      </c>
      <c r="I36" s="168">
        <f t="shared" si="1"/>
        <v>479558.93244646984</v>
      </c>
      <c r="J36" s="168">
        <f t="shared" si="2"/>
        <v>691655.1888630026</v>
      </c>
      <c r="K36" s="169">
        <f t="shared" si="3"/>
        <v>96329668.74358347</v>
      </c>
      <c r="L36" s="170">
        <f t="shared" si="4"/>
        <v>321098.8958119449</v>
      </c>
    </row>
    <row r="37" spans="1:12" ht="12.75">
      <c r="A37" s="5">
        <v>5</v>
      </c>
      <c r="B37" s="10" t="s">
        <v>35</v>
      </c>
      <c r="C37" s="8">
        <f>C36*1000000*365/1000</f>
        <v>6726950</v>
      </c>
      <c r="F37" s="171" t="s">
        <v>58</v>
      </c>
      <c r="G37" s="172">
        <v>5</v>
      </c>
      <c r="H37" s="168">
        <f t="shared" si="0"/>
        <v>213156.73769861538</v>
      </c>
      <c r="I37" s="168">
        <f t="shared" si="1"/>
        <v>478498.45116438717</v>
      </c>
      <c r="J37" s="168">
        <f t="shared" si="2"/>
        <v>691655.1888630026</v>
      </c>
      <c r="K37" s="169">
        <f t="shared" si="3"/>
        <v>96328608.26230139</v>
      </c>
      <c r="L37" s="170">
        <f t="shared" si="4"/>
        <v>321095.36087433796</v>
      </c>
    </row>
    <row r="38" spans="1:12" ht="13.5" thickBot="1">
      <c r="A38" s="3">
        <v>6</v>
      </c>
      <c r="B38" s="15" t="s">
        <v>36</v>
      </c>
      <c r="C38" s="16">
        <f>C36*1000000*365/325851.428571</f>
        <v>20644.22436169943</v>
      </c>
      <c r="F38" s="171" t="s">
        <v>59</v>
      </c>
      <c r="G38" s="172">
        <v>6</v>
      </c>
      <c r="H38" s="168">
        <f t="shared" si="0"/>
        <v>214222.52138710849</v>
      </c>
      <c r="I38" s="168">
        <f t="shared" si="1"/>
        <v>477432.6674758941</v>
      </c>
      <c r="J38" s="168">
        <f t="shared" si="2"/>
        <v>691655.1888630026</v>
      </c>
      <c r="K38" s="169">
        <f t="shared" si="3"/>
        <v>96327542.47861288</v>
      </c>
      <c r="L38" s="170">
        <f t="shared" si="4"/>
        <v>321091.808262043</v>
      </c>
    </row>
    <row r="39" spans="1:12" ht="12.75">
      <c r="A39" s="5"/>
      <c r="B39" s="6" t="s">
        <v>37</v>
      </c>
      <c r="C39" s="12"/>
      <c r="F39" s="171" t="s">
        <v>60</v>
      </c>
      <c r="G39" s="172">
        <v>7</v>
      </c>
      <c r="H39" s="168">
        <f t="shared" si="0"/>
        <v>215293.633994044</v>
      </c>
      <c r="I39" s="168">
        <f t="shared" si="1"/>
        <v>476361.55486895854</v>
      </c>
      <c r="J39" s="168">
        <f t="shared" si="2"/>
        <v>691655.1888630026</v>
      </c>
      <c r="K39" s="169">
        <f t="shared" si="3"/>
        <v>96326471.36600596</v>
      </c>
      <c r="L39" s="170">
        <f t="shared" si="4"/>
        <v>321088.2378866865</v>
      </c>
    </row>
    <row r="40" spans="1:12" ht="12.75">
      <c r="A40" s="5">
        <v>6</v>
      </c>
      <c r="B40" s="10" t="s">
        <v>38</v>
      </c>
      <c r="C40" s="99">
        <f>C37/C34</f>
        <v>1.7815766077014366</v>
      </c>
      <c r="F40" s="171" t="s">
        <v>61</v>
      </c>
      <c r="G40" s="172">
        <v>8</v>
      </c>
      <c r="H40" s="168">
        <f t="shared" si="0"/>
        <v>216370.10216401424</v>
      </c>
      <c r="I40" s="168">
        <f t="shared" si="1"/>
        <v>475285.08669898834</v>
      </c>
      <c r="J40" s="168">
        <f t="shared" si="2"/>
        <v>691655.1888630026</v>
      </c>
      <c r="K40" s="169">
        <f t="shared" si="3"/>
        <v>96325394.89783598</v>
      </c>
      <c r="L40" s="170">
        <f t="shared" si="4"/>
        <v>321084.6496594533</v>
      </c>
    </row>
    <row r="41" spans="1:12" ht="12.75">
      <c r="A41" s="5">
        <v>7</v>
      </c>
      <c r="B41" s="10" t="s">
        <v>39</v>
      </c>
      <c r="C41" s="99">
        <f>C34/C38</f>
        <v>182.9005989203061</v>
      </c>
      <c r="F41" s="171" t="s">
        <v>62</v>
      </c>
      <c r="G41" s="172">
        <v>9</v>
      </c>
      <c r="H41" s="168">
        <f t="shared" si="0"/>
        <v>217451.9526748343</v>
      </c>
      <c r="I41" s="168">
        <f t="shared" si="1"/>
        <v>474203.2361881683</v>
      </c>
      <c r="J41" s="168">
        <f t="shared" si="2"/>
        <v>691655.1888630026</v>
      </c>
      <c r="K41" s="169">
        <f t="shared" si="3"/>
        <v>96324313.04732516</v>
      </c>
      <c r="L41" s="170">
        <f t="shared" si="4"/>
        <v>321081.0434910839</v>
      </c>
    </row>
    <row r="42" spans="6:12" ht="12.75">
      <c r="F42" s="171" t="s">
        <v>63</v>
      </c>
      <c r="G42" s="172">
        <v>10</v>
      </c>
      <c r="H42" s="168">
        <f t="shared" si="0"/>
        <v>218539.21243820843</v>
      </c>
      <c r="I42" s="168">
        <f t="shared" si="1"/>
        <v>473115.9764247942</v>
      </c>
      <c r="J42" s="168">
        <f t="shared" si="2"/>
        <v>691655.1888630026</v>
      </c>
      <c r="K42" s="169">
        <f t="shared" si="3"/>
        <v>96323225.78756179</v>
      </c>
      <c r="L42" s="170">
        <f t="shared" si="4"/>
        <v>321077.41929187265</v>
      </c>
    </row>
    <row r="43" spans="6:12" ht="12.75">
      <c r="F43" s="171" t="s">
        <v>64</v>
      </c>
      <c r="G43" s="172">
        <v>11</v>
      </c>
      <c r="H43" s="168">
        <f t="shared" si="0"/>
        <v>219631.90850039947</v>
      </c>
      <c r="I43" s="168">
        <f t="shared" si="1"/>
        <v>472023.28036260314</v>
      </c>
      <c r="J43" s="168">
        <f t="shared" si="2"/>
        <v>691655.1888630026</v>
      </c>
      <c r="K43" s="169">
        <f t="shared" si="3"/>
        <v>96322133.0914996</v>
      </c>
      <c r="L43" s="170">
        <f t="shared" si="4"/>
        <v>321073.7769716653</v>
      </c>
    </row>
    <row r="44" spans="6:12" ht="12.75">
      <c r="F44" s="171" t="s">
        <v>65</v>
      </c>
      <c r="G44" s="172">
        <v>12</v>
      </c>
      <c r="H44" s="168">
        <f t="shared" si="0"/>
        <v>220730.06804290146</v>
      </c>
      <c r="I44" s="168">
        <f t="shared" si="1"/>
        <v>470925.1208201011</v>
      </c>
      <c r="J44" s="168">
        <f t="shared" si="2"/>
        <v>691655.1888630026</v>
      </c>
      <c r="K44" s="169">
        <f t="shared" si="3"/>
        <v>96321034.9319571</v>
      </c>
      <c r="L44" s="170">
        <f t="shared" si="4"/>
        <v>321070.116439857</v>
      </c>
    </row>
    <row r="45" spans="6:12" ht="12.75">
      <c r="F45" s="146"/>
      <c r="G45" s="148"/>
      <c r="H45" s="148"/>
      <c r="I45" s="148"/>
      <c r="J45" s="148"/>
      <c r="K45" s="148"/>
      <c r="L45" s="173"/>
    </row>
    <row r="46" spans="6:12" ht="13.5" thickBot="1">
      <c r="F46" s="174" t="s">
        <v>66</v>
      </c>
      <c r="G46" s="175"/>
      <c r="H46" s="176">
        <f>SUM(H33:H44)</f>
        <v>2577470.9040227076</v>
      </c>
      <c r="I46" s="176">
        <f>SUM(I33:I44)</f>
        <v>5722391.362333323</v>
      </c>
      <c r="J46" s="176">
        <f>SUM(J33:J44)</f>
        <v>8299862.266356031</v>
      </c>
      <c r="K46" s="176"/>
      <c r="L46" s="177">
        <f>SUM(L33:L44)</f>
        <v>3853079.030319925</v>
      </c>
    </row>
    <row r="47" spans="6:12" ht="15">
      <c r="F47" s="178"/>
      <c r="G47" s="178"/>
      <c r="H47" s="178"/>
      <c r="I47" s="178"/>
      <c r="J47" s="178"/>
      <c r="K47" s="178"/>
      <c r="L47" s="178"/>
    </row>
    <row r="48" spans="6:12" ht="15">
      <c r="F48" s="179" t="s">
        <v>68</v>
      </c>
      <c r="G48" s="178"/>
      <c r="H48" s="178"/>
      <c r="I48" s="178"/>
      <c r="J48" s="178"/>
      <c r="K48" s="178"/>
      <c r="L48" s="442">
        <f>J24+I46-L46</f>
        <v>98411077.3320134</v>
      </c>
    </row>
  </sheetData>
  <sheetProtection/>
  <mergeCells count="6">
    <mergeCell ref="F31:F32"/>
    <mergeCell ref="G31:G32"/>
    <mergeCell ref="A1:C1"/>
    <mergeCell ref="A28:C28"/>
    <mergeCell ref="F17:L17"/>
    <mergeCell ref="A15:C1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45"/>
  <sheetViews>
    <sheetView zoomScalePageLayoutView="0" workbookViewId="0" topLeftCell="A1">
      <selection activeCell="E38" sqref="E38"/>
    </sheetView>
  </sheetViews>
  <sheetFormatPr defaultColWidth="9.140625" defaultRowHeight="12.75"/>
  <cols>
    <col min="1" max="1" width="23.140625" style="0" bestFit="1" customWidth="1"/>
    <col min="2" max="2" width="37.140625" style="0" bestFit="1" customWidth="1"/>
    <col min="3" max="3" width="10.7109375" style="0" bestFit="1" customWidth="1"/>
    <col min="4" max="4" width="7.421875" style="0" bestFit="1" customWidth="1"/>
    <col min="5" max="5" width="12.28125" style="0" bestFit="1" customWidth="1"/>
    <col min="9" max="9" width="11.8515625" style="0" customWidth="1"/>
    <col min="10" max="10" width="13.8515625" style="0" bestFit="1" customWidth="1"/>
    <col min="11" max="11" width="12.8515625" style="0" bestFit="1" customWidth="1"/>
    <col min="12" max="12" width="13.28125" style="0" bestFit="1" customWidth="1"/>
    <col min="13" max="13" width="15.00390625" style="0" bestFit="1" customWidth="1"/>
    <col min="14" max="14" width="16.140625" style="0" bestFit="1" customWidth="1"/>
  </cols>
  <sheetData>
    <row r="1" spans="1:3" ht="13.5" thickBot="1">
      <c r="A1" s="501" t="s">
        <v>238</v>
      </c>
      <c r="B1" s="501"/>
      <c r="C1" s="501"/>
    </row>
    <row r="2" spans="1:14" ht="12.75" customHeight="1" thickBot="1">
      <c r="A2" s="3" t="s">
        <v>2</v>
      </c>
      <c r="B2" s="3" t="s">
        <v>3</v>
      </c>
      <c r="C2" s="4" t="s">
        <v>4</v>
      </c>
      <c r="E2" s="285"/>
      <c r="F2" s="285"/>
      <c r="G2" s="285"/>
      <c r="H2" s="285"/>
      <c r="I2" s="285"/>
      <c r="J2" s="285"/>
      <c r="K2" s="285"/>
      <c r="L2" s="285"/>
      <c r="M2" s="285"/>
      <c r="N2" s="285"/>
    </row>
    <row r="3" spans="1:14" ht="12.75" customHeight="1">
      <c r="A3" s="5"/>
      <c r="B3" s="6" t="s">
        <v>40</v>
      </c>
      <c r="C3" s="6"/>
      <c r="E3" s="285"/>
      <c r="F3" s="285"/>
      <c r="G3" s="285"/>
      <c r="H3" s="285"/>
      <c r="I3" s="285"/>
      <c r="J3" s="285"/>
      <c r="K3" s="285"/>
      <c r="L3" s="285"/>
      <c r="M3" s="285"/>
      <c r="N3" s="285"/>
    </row>
    <row r="4" spans="1:14" ht="13.5" thickBot="1">
      <c r="A4" s="5">
        <v>1</v>
      </c>
      <c r="B4" s="10" t="s">
        <v>235</v>
      </c>
      <c r="C4" s="436">
        <f>C17*0.55</f>
        <v>28056745.200000003</v>
      </c>
      <c r="E4" s="285"/>
      <c r="F4" s="285"/>
      <c r="G4" s="285"/>
      <c r="H4" s="285"/>
      <c r="I4" s="285"/>
      <c r="J4" s="285"/>
      <c r="K4" s="285"/>
      <c r="L4" s="285"/>
      <c r="M4" s="285"/>
      <c r="N4" s="285"/>
    </row>
    <row r="5" spans="1:14" ht="12.75">
      <c r="A5" s="5"/>
      <c r="B5" s="9" t="s">
        <v>8</v>
      </c>
      <c r="C5" s="437">
        <f>SUM(C4:C4)</f>
        <v>28056745.200000003</v>
      </c>
      <c r="E5" s="355"/>
      <c r="F5" s="285"/>
      <c r="G5" s="285"/>
      <c r="H5" s="285"/>
      <c r="I5" s="285"/>
      <c r="J5" s="285"/>
      <c r="K5" s="285"/>
      <c r="L5" s="285"/>
      <c r="M5" s="285"/>
      <c r="N5" s="285"/>
    </row>
    <row r="6" spans="1:14" ht="12.75">
      <c r="A6" s="5"/>
      <c r="B6" s="6" t="s">
        <v>9</v>
      </c>
      <c r="C6" s="438"/>
      <c r="E6" s="355"/>
      <c r="F6" s="285"/>
      <c r="G6" s="285"/>
      <c r="H6" s="285"/>
      <c r="I6" s="285"/>
      <c r="J6" s="285"/>
      <c r="K6" s="285"/>
      <c r="L6" s="285"/>
      <c r="M6" s="285"/>
      <c r="N6" s="285"/>
    </row>
    <row r="7" spans="1:14" ht="12.75">
      <c r="A7" s="5">
        <v>4</v>
      </c>
      <c r="B7" s="10" t="s">
        <v>236</v>
      </c>
      <c r="C7" s="438">
        <f>0.01*C11</f>
        <v>229555.18799999997</v>
      </c>
      <c r="E7" s="355"/>
      <c r="F7" s="289"/>
      <c r="G7" s="289"/>
      <c r="H7" s="289"/>
      <c r="I7" s="289"/>
      <c r="J7" s="289"/>
      <c r="K7" s="289"/>
      <c r="L7" s="289"/>
      <c r="M7" s="289"/>
      <c r="N7" s="289"/>
    </row>
    <row r="8" spans="1:14" ht="12.75">
      <c r="A8" s="5">
        <v>5</v>
      </c>
      <c r="B8" s="10" t="s">
        <v>11</v>
      </c>
      <c r="C8" s="438">
        <f>0.85*C11</f>
        <v>19512190.979999997</v>
      </c>
      <c r="E8" s="355"/>
      <c r="F8" s="285"/>
      <c r="G8" s="285"/>
      <c r="H8" s="285"/>
      <c r="I8" s="285"/>
      <c r="J8" s="285"/>
      <c r="K8" s="285"/>
      <c r="L8" s="285"/>
      <c r="M8" s="285"/>
      <c r="N8" s="285"/>
    </row>
    <row r="9" spans="1:14" ht="12.75">
      <c r="A9" s="5">
        <v>6</v>
      </c>
      <c r="B9" s="10" t="s">
        <v>12</v>
      </c>
      <c r="C9" s="438">
        <f>0.12*C11</f>
        <v>2754662.2559999996</v>
      </c>
      <c r="E9" s="355"/>
      <c r="F9" s="285"/>
      <c r="G9" s="285"/>
      <c r="H9" s="285"/>
      <c r="I9" s="285"/>
      <c r="J9" s="285"/>
      <c r="K9" s="285"/>
      <c r="L9" s="285"/>
      <c r="M9" s="285"/>
      <c r="N9" s="285"/>
    </row>
    <row r="10" spans="1:14" ht="13.5" thickBot="1">
      <c r="A10" s="5">
        <v>7</v>
      </c>
      <c r="B10" s="10" t="s">
        <v>13</v>
      </c>
      <c r="C10" s="438">
        <f>C11-C7-C8-C9</f>
        <v>459110.3759999997</v>
      </c>
      <c r="E10" s="355"/>
      <c r="F10" s="285"/>
      <c r="G10" s="285"/>
      <c r="H10" s="285"/>
      <c r="I10" s="285"/>
      <c r="J10" s="285"/>
      <c r="K10" s="285"/>
      <c r="L10" s="285"/>
      <c r="M10" s="285"/>
      <c r="N10" s="285"/>
    </row>
    <row r="11" spans="1:14" ht="12.75">
      <c r="A11" s="5"/>
      <c r="B11" s="9" t="s">
        <v>14</v>
      </c>
      <c r="C11" s="437">
        <f>C17-C5</f>
        <v>22955518.799999997</v>
      </c>
      <c r="E11" s="285"/>
      <c r="F11" s="285"/>
      <c r="G11" s="285"/>
      <c r="H11" s="285"/>
      <c r="I11" s="285"/>
      <c r="J11" s="285"/>
      <c r="K11" s="285"/>
      <c r="L11" s="285"/>
      <c r="M11" s="285"/>
      <c r="N11" s="285"/>
    </row>
    <row r="12" spans="1:14" ht="15">
      <c r="A12" s="2"/>
      <c r="E12" s="285"/>
      <c r="F12" s="285"/>
      <c r="G12" s="285"/>
      <c r="H12" s="285"/>
      <c r="I12" s="285"/>
      <c r="J12" s="285"/>
      <c r="K12" s="285"/>
      <c r="L12" s="285"/>
      <c r="M12" s="285"/>
      <c r="N12" s="285"/>
    </row>
    <row r="13" spans="1:14" ht="13.5" thickBot="1">
      <c r="A13" s="461" t="s">
        <v>246</v>
      </c>
      <c r="B13" s="461"/>
      <c r="C13" s="461"/>
      <c r="D13" s="461"/>
      <c r="E13" s="285"/>
      <c r="F13" s="285"/>
      <c r="G13" s="285"/>
      <c r="H13" s="285"/>
      <c r="I13" s="285"/>
      <c r="J13" s="285"/>
      <c r="K13" s="285"/>
      <c r="L13" s="285"/>
      <c r="M13" s="285"/>
      <c r="N13" s="285"/>
    </row>
    <row r="14" spans="1:14" ht="12.75" customHeight="1" thickBot="1">
      <c r="A14" s="11" t="s">
        <v>2</v>
      </c>
      <c r="B14" s="3" t="s">
        <v>3</v>
      </c>
      <c r="C14" s="3" t="s">
        <v>16</v>
      </c>
      <c r="D14" s="3" t="s">
        <v>17</v>
      </c>
      <c r="E14" s="285"/>
      <c r="F14" s="285"/>
      <c r="G14" s="498" t="s">
        <v>41</v>
      </c>
      <c r="H14" s="499"/>
      <c r="I14" s="499"/>
      <c r="J14" s="499"/>
      <c r="K14" s="499"/>
      <c r="L14" s="499"/>
      <c r="M14" s="500"/>
      <c r="N14" s="285"/>
    </row>
    <row r="15" spans="1:14" ht="12.75">
      <c r="A15" s="5">
        <v>1</v>
      </c>
      <c r="B15" s="6" t="s">
        <v>18</v>
      </c>
      <c r="C15" s="436">
        <f>C5</f>
        <v>28056745.200000003</v>
      </c>
      <c r="D15" s="5" t="s">
        <v>4</v>
      </c>
      <c r="E15" s="285"/>
      <c r="F15" s="285"/>
      <c r="G15" s="143"/>
      <c r="H15" s="144"/>
      <c r="I15" s="144"/>
      <c r="J15" s="144"/>
      <c r="K15" s="144"/>
      <c r="L15" s="144"/>
      <c r="M15" s="145"/>
      <c r="N15" s="285"/>
    </row>
    <row r="16" spans="1:14" ht="12.75">
      <c r="A16" s="5">
        <v>2</v>
      </c>
      <c r="B16" s="6" t="s">
        <v>78</v>
      </c>
      <c r="C16" s="436">
        <f>C11</f>
        <v>22955518.799999997</v>
      </c>
      <c r="D16" s="5" t="s">
        <v>4</v>
      </c>
      <c r="E16" s="285"/>
      <c r="F16" s="285"/>
      <c r="G16" s="146"/>
      <c r="H16" s="147" t="s">
        <v>42</v>
      </c>
      <c r="I16" s="148"/>
      <c r="J16" s="148"/>
      <c r="K16" s="148"/>
      <c r="L16" s="148"/>
      <c r="M16" s="149"/>
      <c r="N16" s="285"/>
    </row>
    <row r="17" spans="1:13" ht="12.75">
      <c r="A17" s="5">
        <v>3</v>
      </c>
      <c r="B17" s="6" t="s">
        <v>20</v>
      </c>
      <c r="C17" s="436">
        <v>51012264</v>
      </c>
      <c r="D17" s="5" t="s">
        <v>4</v>
      </c>
      <c r="E17" s="285"/>
      <c r="F17" s="285"/>
      <c r="G17" s="146"/>
      <c r="H17" s="150" t="s">
        <v>21</v>
      </c>
      <c r="I17" s="151"/>
      <c r="J17" s="151"/>
      <c r="K17" s="152">
        <v>0.06</v>
      </c>
      <c r="L17" s="148"/>
      <c r="M17" s="149"/>
    </row>
    <row r="18" spans="1:13" ht="12.75" customHeight="1">
      <c r="A18" s="5">
        <v>4</v>
      </c>
      <c r="B18" s="6" t="s">
        <v>21</v>
      </c>
      <c r="C18" s="12">
        <v>0.06</v>
      </c>
      <c r="D18" s="5" t="s">
        <v>22</v>
      </c>
      <c r="E18" s="285"/>
      <c r="F18" s="285"/>
      <c r="G18" s="146"/>
      <c r="H18" s="153" t="s">
        <v>23</v>
      </c>
      <c r="I18" s="148"/>
      <c r="J18" s="148"/>
      <c r="K18" s="154">
        <v>0.005</v>
      </c>
      <c r="L18" s="148"/>
      <c r="M18" s="149"/>
    </row>
    <row r="19" spans="1:13" ht="12.75">
      <c r="A19" s="5">
        <v>5</v>
      </c>
      <c r="B19" s="6" t="s">
        <v>23</v>
      </c>
      <c r="C19" s="12">
        <f>C18/12</f>
        <v>0.005</v>
      </c>
      <c r="D19" s="5" t="s">
        <v>22</v>
      </c>
      <c r="E19" s="285"/>
      <c r="F19" s="285"/>
      <c r="G19" s="146"/>
      <c r="H19" s="153" t="s">
        <v>24</v>
      </c>
      <c r="I19" s="148"/>
      <c r="J19" s="148"/>
      <c r="K19" s="155">
        <v>20</v>
      </c>
      <c r="L19" s="148"/>
      <c r="M19" s="149"/>
    </row>
    <row r="20" spans="1:13" ht="12.75">
      <c r="A20" s="5">
        <v>6</v>
      </c>
      <c r="B20" s="6" t="s">
        <v>24</v>
      </c>
      <c r="C20" s="12">
        <v>20</v>
      </c>
      <c r="D20" s="5" t="s">
        <v>25</v>
      </c>
      <c r="E20" s="355"/>
      <c r="F20" s="285"/>
      <c r="G20" s="146"/>
      <c r="H20" s="153" t="s">
        <v>26</v>
      </c>
      <c r="I20" s="148"/>
      <c r="J20" s="148"/>
      <c r="K20" s="155">
        <v>240</v>
      </c>
      <c r="L20" s="148"/>
      <c r="M20" s="149"/>
    </row>
    <row r="21" spans="1:13" ht="12.75">
      <c r="A21" s="5">
        <v>7</v>
      </c>
      <c r="B21" s="6" t="s">
        <v>26</v>
      </c>
      <c r="C21" s="12">
        <v>240</v>
      </c>
      <c r="D21" s="5" t="s">
        <v>22</v>
      </c>
      <c r="E21" s="355"/>
      <c r="F21" s="285"/>
      <c r="G21" s="146"/>
      <c r="H21" s="153" t="s">
        <v>43</v>
      </c>
      <c r="I21" s="148"/>
      <c r="J21" s="148"/>
      <c r="K21" s="440">
        <f>C17</f>
        <v>51012264</v>
      </c>
      <c r="L21" s="148"/>
      <c r="M21" s="149"/>
    </row>
    <row r="22" spans="1:13" ht="12.75">
      <c r="A22" s="5">
        <v>8</v>
      </c>
      <c r="B22" s="6" t="s">
        <v>27</v>
      </c>
      <c r="C22" s="436">
        <f>PMT(C19,C21,C17)*-1</f>
        <v>365467.70292887586</v>
      </c>
      <c r="D22" s="5" t="s">
        <v>4</v>
      </c>
      <c r="E22" s="355"/>
      <c r="F22" s="285"/>
      <c r="G22" s="146"/>
      <c r="H22" s="153"/>
      <c r="I22" s="148"/>
      <c r="J22" s="148"/>
      <c r="K22" s="157"/>
      <c r="L22" s="148"/>
      <c r="M22" s="149"/>
    </row>
    <row r="23" spans="1:13" ht="12.75">
      <c r="A23" s="5">
        <v>9</v>
      </c>
      <c r="B23" s="6" t="s">
        <v>28</v>
      </c>
      <c r="C23" s="436">
        <f>C22*12</f>
        <v>4385612.435146511</v>
      </c>
      <c r="D23" s="5" t="s">
        <v>4</v>
      </c>
      <c r="E23" s="351"/>
      <c r="F23" s="285"/>
      <c r="G23" s="146"/>
      <c r="H23" s="153" t="s">
        <v>44</v>
      </c>
      <c r="I23" s="148"/>
      <c r="J23" s="148"/>
      <c r="K23" s="158">
        <f>PMT(K18,K20,K21)*-1</f>
        <v>365467.70292887586</v>
      </c>
      <c r="L23" s="148"/>
      <c r="M23" s="149"/>
    </row>
    <row r="24" spans="1:13" ht="12.75">
      <c r="A24" s="5">
        <v>10</v>
      </c>
      <c r="B24" s="10" t="s">
        <v>29</v>
      </c>
      <c r="C24" s="436">
        <f>M43</f>
        <v>2035950.8105900488</v>
      </c>
      <c r="D24" s="5" t="s">
        <v>4</v>
      </c>
      <c r="E24" s="351"/>
      <c r="F24" s="285"/>
      <c r="G24" s="146"/>
      <c r="H24" s="153" t="s">
        <v>45</v>
      </c>
      <c r="I24" s="148"/>
      <c r="J24" s="148"/>
      <c r="K24" s="158">
        <f>K23*12</f>
        <v>4385612.435146511</v>
      </c>
      <c r="L24" s="148"/>
      <c r="M24" s="149"/>
    </row>
    <row r="25" spans="1:13" ht="15">
      <c r="A25" s="2"/>
      <c r="E25" s="352"/>
      <c r="F25" s="285"/>
      <c r="G25" s="146"/>
      <c r="H25" s="159" t="s">
        <v>46</v>
      </c>
      <c r="I25" s="160"/>
      <c r="J25" s="160"/>
      <c r="K25" s="161">
        <f>K24*K19</f>
        <v>87712248.70293021</v>
      </c>
      <c r="L25" s="148"/>
      <c r="M25" s="149"/>
    </row>
    <row r="26" spans="1:13" ht="12.75">
      <c r="A26" s="462" t="s">
        <v>247</v>
      </c>
      <c r="B26" s="462"/>
      <c r="C26" s="462"/>
      <c r="E26" s="352"/>
      <c r="F26" s="285"/>
      <c r="G26" s="146"/>
      <c r="H26" s="148"/>
      <c r="I26" s="148"/>
      <c r="J26" s="148"/>
      <c r="K26" s="148"/>
      <c r="L26" s="148"/>
      <c r="M26" s="149"/>
    </row>
    <row r="27" spans="1:13" ht="13.5" thickBot="1">
      <c r="A27" s="11" t="s">
        <v>2</v>
      </c>
      <c r="B27" s="3" t="s">
        <v>3</v>
      </c>
      <c r="C27" s="3" t="s">
        <v>16</v>
      </c>
      <c r="E27" s="355"/>
      <c r="F27" s="285"/>
      <c r="G27" s="146" t="s">
        <v>47</v>
      </c>
      <c r="H27" s="148"/>
      <c r="I27" s="148"/>
      <c r="J27" s="148"/>
      <c r="K27" s="148"/>
      <c r="L27" s="148"/>
      <c r="M27" s="149"/>
    </row>
    <row r="28" spans="1:13" ht="24">
      <c r="A28" s="5"/>
      <c r="B28" s="6" t="s">
        <v>31</v>
      </c>
      <c r="C28" s="12"/>
      <c r="E28" s="355"/>
      <c r="F28" s="285"/>
      <c r="G28" s="494" t="s">
        <v>48</v>
      </c>
      <c r="H28" s="496" t="s">
        <v>49</v>
      </c>
      <c r="I28" s="162" t="s">
        <v>50</v>
      </c>
      <c r="J28" s="162" t="s">
        <v>51</v>
      </c>
      <c r="K28" s="162" t="s">
        <v>52</v>
      </c>
      <c r="L28" s="162" t="s">
        <v>53</v>
      </c>
      <c r="M28" s="163" t="s">
        <v>67</v>
      </c>
    </row>
    <row r="29" spans="1:13" ht="14.25" thickBot="1">
      <c r="A29" s="5"/>
      <c r="B29" s="10"/>
      <c r="C29" s="8"/>
      <c r="E29" s="358"/>
      <c r="F29" s="285"/>
      <c r="G29" s="495"/>
      <c r="H29" s="497"/>
      <c r="I29" s="164" t="s">
        <v>69</v>
      </c>
      <c r="J29" s="164" t="s">
        <v>70</v>
      </c>
      <c r="K29" s="164" t="s">
        <v>71</v>
      </c>
      <c r="L29" s="164" t="s">
        <v>72</v>
      </c>
      <c r="M29" s="165"/>
    </row>
    <row r="30" spans="1:13" ht="12.75">
      <c r="A30" s="5">
        <v>3</v>
      </c>
      <c r="B30" s="10" t="s">
        <v>237</v>
      </c>
      <c r="C30" s="436">
        <v>510397</v>
      </c>
      <c r="E30" s="285"/>
      <c r="F30" s="285"/>
      <c r="G30" s="166" t="s">
        <v>54</v>
      </c>
      <c r="H30" s="167">
        <v>1</v>
      </c>
      <c r="I30" s="168">
        <f>PPMT($K$18,H30,$K$20,$K$21)*-1</f>
        <v>110406.38292887581</v>
      </c>
      <c r="J30" s="168">
        <f>K30-I30</f>
        <v>255061.32000000007</v>
      </c>
      <c r="K30" s="168">
        <f>$K$23</f>
        <v>365467.70292887586</v>
      </c>
      <c r="L30" s="169">
        <f>$K$21-I30</f>
        <v>50901857.61707112</v>
      </c>
      <c r="M30" s="170">
        <f>L30*(0.04/12)</f>
        <v>169672.85872357042</v>
      </c>
    </row>
    <row r="31" spans="1:13" ht="12.75" customHeight="1" thickBot="1">
      <c r="A31" s="3"/>
      <c r="B31" s="13" t="s">
        <v>32</v>
      </c>
      <c r="C31" s="439">
        <f>SUM(C30:C30)</f>
        <v>510397</v>
      </c>
      <c r="E31" s="285"/>
      <c r="F31" s="285"/>
      <c r="G31" s="171" t="s">
        <v>55</v>
      </c>
      <c r="H31" s="172">
        <v>2</v>
      </c>
      <c r="I31" s="168">
        <f aca="true" t="shared" si="0" ref="I31:I41">PPMT($K$18,H31,$K$20,$K$21)*-1</f>
        <v>110958.41484352021</v>
      </c>
      <c r="J31" s="168">
        <f aca="true" t="shared" si="1" ref="J31:J41">K31-I31</f>
        <v>254509.28808535566</v>
      </c>
      <c r="K31" s="168">
        <f aca="true" t="shared" si="2" ref="K31:K41">$K$23</f>
        <v>365467.70292887586</v>
      </c>
      <c r="L31" s="169">
        <f aca="true" t="shared" si="3" ref="L31:L41">$K$21-I31</f>
        <v>50901305.58515648</v>
      </c>
      <c r="M31" s="170">
        <f aca="true" t="shared" si="4" ref="M31:M41">L31*(0.04/12)</f>
        <v>169671.01861718827</v>
      </c>
    </row>
    <row r="32" spans="1:13" ht="12.75">
      <c r="A32" s="5"/>
      <c r="B32" s="6" t="s">
        <v>33</v>
      </c>
      <c r="C32" s="12"/>
      <c r="E32" s="285"/>
      <c r="F32" s="285"/>
      <c r="G32" s="171" t="s">
        <v>56</v>
      </c>
      <c r="H32" s="172">
        <v>3</v>
      </c>
      <c r="I32" s="168">
        <f t="shared" si="0"/>
        <v>111513.2069177378</v>
      </c>
      <c r="J32" s="168">
        <f t="shared" si="1"/>
        <v>253954.49601113808</v>
      </c>
      <c r="K32" s="168">
        <f t="shared" si="2"/>
        <v>365467.70292887586</v>
      </c>
      <c r="L32" s="169">
        <f t="shared" si="3"/>
        <v>50900750.79308226</v>
      </c>
      <c r="M32" s="170">
        <f t="shared" si="4"/>
        <v>169669.1693102742</v>
      </c>
    </row>
    <row r="33" spans="1:13" ht="12.75">
      <c r="A33" s="5">
        <v>4</v>
      </c>
      <c r="B33" s="10" t="s">
        <v>34</v>
      </c>
      <c r="C33" s="12">
        <v>0.75</v>
      </c>
      <c r="E33" s="285"/>
      <c r="F33" s="285"/>
      <c r="G33" s="171" t="s">
        <v>57</v>
      </c>
      <c r="H33" s="172">
        <v>4</v>
      </c>
      <c r="I33" s="168">
        <f t="shared" si="0"/>
        <v>112070.7729523265</v>
      </c>
      <c r="J33" s="168">
        <f t="shared" si="1"/>
        <v>253396.92997654935</v>
      </c>
      <c r="K33" s="168">
        <f t="shared" si="2"/>
        <v>365467.70292887586</v>
      </c>
      <c r="L33" s="169">
        <f t="shared" si="3"/>
        <v>50900193.227047674</v>
      </c>
      <c r="M33" s="170">
        <f t="shared" si="4"/>
        <v>169667.31075682558</v>
      </c>
    </row>
    <row r="34" spans="1:13" ht="12.75">
      <c r="A34" s="5">
        <v>5</v>
      </c>
      <c r="B34" s="10" t="s">
        <v>35</v>
      </c>
      <c r="C34" s="8">
        <f>C33*1000000*365/1000</f>
        <v>273750</v>
      </c>
      <c r="E34" s="285"/>
      <c r="F34" s="285"/>
      <c r="G34" s="171" t="s">
        <v>58</v>
      </c>
      <c r="H34" s="172">
        <v>5</v>
      </c>
      <c r="I34" s="168">
        <f t="shared" si="0"/>
        <v>112631.12681708812</v>
      </c>
      <c r="J34" s="168">
        <f t="shared" si="1"/>
        <v>252836.57611178776</v>
      </c>
      <c r="K34" s="168">
        <f t="shared" si="2"/>
        <v>365467.70292887586</v>
      </c>
      <c r="L34" s="169">
        <f t="shared" si="3"/>
        <v>50899632.873182915</v>
      </c>
      <c r="M34" s="170">
        <f t="shared" si="4"/>
        <v>169665.44291060974</v>
      </c>
    </row>
    <row r="35" spans="1:13" ht="13.5" thickBot="1">
      <c r="A35" s="3">
        <v>6</v>
      </c>
      <c r="B35" s="15" t="s">
        <v>36</v>
      </c>
      <c r="C35" s="16">
        <v>877</v>
      </c>
      <c r="F35" s="285"/>
      <c r="G35" s="171" t="s">
        <v>59</v>
      </c>
      <c r="H35" s="172">
        <v>6</v>
      </c>
      <c r="I35" s="168">
        <f t="shared" si="0"/>
        <v>113194.28245117357</v>
      </c>
      <c r="J35" s="168">
        <f t="shared" si="1"/>
        <v>252273.42047770228</v>
      </c>
      <c r="K35" s="168">
        <f t="shared" si="2"/>
        <v>365467.70292887586</v>
      </c>
      <c r="L35" s="169">
        <f t="shared" si="3"/>
        <v>50899069.717548825</v>
      </c>
      <c r="M35" s="170">
        <f t="shared" si="4"/>
        <v>169663.56572516277</v>
      </c>
    </row>
    <row r="36" spans="1:13" ht="12.75">
      <c r="A36" s="5"/>
      <c r="B36" s="6" t="s">
        <v>37</v>
      </c>
      <c r="C36" s="12"/>
      <c r="F36" s="285"/>
      <c r="G36" s="171" t="s">
        <v>60</v>
      </c>
      <c r="H36" s="172">
        <v>7</v>
      </c>
      <c r="I36" s="168">
        <f t="shared" si="0"/>
        <v>113760.25386342943</v>
      </c>
      <c r="J36" s="168">
        <f t="shared" si="1"/>
        <v>251707.44906544645</v>
      </c>
      <c r="K36" s="168">
        <f t="shared" si="2"/>
        <v>365467.70292887586</v>
      </c>
      <c r="L36" s="169">
        <f t="shared" si="3"/>
        <v>50898503.74613657</v>
      </c>
      <c r="M36" s="170">
        <f t="shared" si="4"/>
        <v>169661.67915378857</v>
      </c>
    </row>
    <row r="37" spans="1:13" ht="12.75">
      <c r="A37" s="5">
        <v>6</v>
      </c>
      <c r="B37" s="10" t="s">
        <v>38</v>
      </c>
      <c r="C37" s="99">
        <v>24.75</v>
      </c>
      <c r="E37" s="330"/>
      <c r="F37" s="285"/>
      <c r="G37" s="171" t="s">
        <v>61</v>
      </c>
      <c r="H37" s="172">
        <v>8</v>
      </c>
      <c r="I37" s="168">
        <f t="shared" si="0"/>
        <v>114329.05513274658</v>
      </c>
      <c r="J37" s="168">
        <f t="shared" si="1"/>
        <v>251138.64779612928</v>
      </c>
      <c r="K37" s="168">
        <f t="shared" si="2"/>
        <v>365467.70292887586</v>
      </c>
      <c r="L37" s="169">
        <f t="shared" si="3"/>
        <v>50897934.94486725</v>
      </c>
      <c r="M37" s="170">
        <f t="shared" si="4"/>
        <v>169659.7831495575</v>
      </c>
    </row>
    <row r="38" spans="1:13" ht="12.75">
      <c r="A38" s="5">
        <v>7</v>
      </c>
      <c r="B38" s="10" t="s">
        <v>39</v>
      </c>
      <c r="C38" s="99">
        <f>2542</f>
        <v>2542</v>
      </c>
      <c r="E38" s="356"/>
      <c r="F38" s="285"/>
      <c r="G38" s="171" t="s">
        <v>62</v>
      </c>
      <c r="H38" s="172">
        <v>9</v>
      </c>
      <c r="I38" s="168">
        <f t="shared" si="0"/>
        <v>114900.70040841032</v>
      </c>
      <c r="J38" s="168">
        <f t="shared" si="1"/>
        <v>250567.00252046552</v>
      </c>
      <c r="K38" s="168">
        <f t="shared" si="2"/>
        <v>365467.70292887586</v>
      </c>
      <c r="L38" s="169">
        <f t="shared" si="3"/>
        <v>50897363.299591586</v>
      </c>
      <c r="M38" s="170">
        <f t="shared" si="4"/>
        <v>169657.8776653053</v>
      </c>
    </row>
    <row r="39" spans="1:13" ht="12.75">
      <c r="A39" s="285"/>
      <c r="B39" s="285"/>
      <c r="C39" s="285"/>
      <c r="E39" s="356"/>
      <c r="F39" s="285"/>
      <c r="G39" s="171" t="s">
        <v>63</v>
      </c>
      <c r="H39" s="172">
        <v>10</v>
      </c>
      <c r="I39" s="168">
        <f t="shared" si="0"/>
        <v>115475.20391045236</v>
      </c>
      <c r="J39" s="168">
        <f t="shared" si="1"/>
        <v>249992.4990184235</v>
      </c>
      <c r="K39" s="168">
        <f t="shared" si="2"/>
        <v>365467.70292887586</v>
      </c>
      <c r="L39" s="169">
        <f t="shared" si="3"/>
        <v>50896788.796089545</v>
      </c>
      <c r="M39" s="170">
        <f t="shared" si="4"/>
        <v>169655.96265363184</v>
      </c>
    </row>
    <row r="40" spans="1:13" ht="12.75">
      <c r="A40" s="285"/>
      <c r="B40" s="285"/>
      <c r="C40" s="285"/>
      <c r="D40" s="285"/>
      <c r="E40" s="285"/>
      <c r="F40" s="285"/>
      <c r="G40" s="171" t="s">
        <v>64</v>
      </c>
      <c r="H40" s="172">
        <v>11</v>
      </c>
      <c r="I40" s="168">
        <f t="shared" si="0"/>
        <v>116052.57993000463</v>
      </c>
      <c r="J40" s="168">
        <f t="shared" si="1"/>
        <v>249415.12299887123</v>
      </c>
      <c r="K40" s="168">
        <f t="shared" si="2"/>
        <v>365467.70292887586</v>
      </c>
      <c r="L40" s="169">
        <f t="shared" si="3"/>
        <v>50896211.42006999</v>
      </c>
      <c r="M40" s="170">
        <f t="shared" si="4"/>
        <v>169654.0380669</v>
      </c>
    </row>
    <row r="41" spans="1:13" ht="12.75">
      <c r="A41" s="285"/>
      <c r="B41" s="285"/>
      <c r="C41" s="285"/>
      <c r="D41" s="285"/>
      <c r="E41" s="285"/>
      <c r="F41" s="285"/>
      <c r="G41" s="171" t="s">
        <v>65</v>
      </c>
      <c r="H41" s="172">
        <v>12</v>
      </c>
      <c r="I41" s="168">
        <f t="shared" si="0"/>
        <v>116632.84282965463</v>
      </c>
      <c r="J41" s="168">
        <f t="shared" si="1"/>
        <v>248834.86009922123</v>
      </c>
      <c r="K41" s="168">
        <f t="shared" si="2"/>
        <v>365467.70292887586</v>
      </c>
      <c r="L41" s="169">
        <f t="shared" si="3"/>
        <v>50895631.15717035</v>
      </c>
      <c r="M41" s="170">
        <f t="shared" si="4"/>
        <v>169652.1038572345</v>
      </c>
    </row>
    <row r="42" spans="1:13" ht="12.75">
      <c r="A42" s="285"/>
      <c r="B42" s="285"/>
      <c r="C42" s="285"/>
      <c r="D42" s="285"/>
      <c r="E42" s="285"/>
      <c r="F42" s="285"/>
      <c r="G42" s="146"/>
      <c r="H42" s="148"/>
      <c r="I42" s="148"/>
      <c r="J42" s="148"/>
      <c r="K42" s="148"/>
      <c r="L42" s="148"/>
      <c r="M42" s="173"/>
    </row>
    <row r="43" spans="4:13" ht="13.5" thickBot="1">
      <c r="D43" s="285"/>
      <c r="E43" s="285"/>
      <c r="F43" s="285"/>
      <c r="G43" s="174" t="s">
        <v>66</v>
      </c>
      <c r="H43" s="175"/>
      <c r="I43" s="176">
        <f>SUM(I30:I41)</f>
        <v>1361924.82298542</v>
      </c>
      <c r="J43" s="176">
        <f>SUM(J30:J41)</f>
        <v>3023687.6121610906</v>
      </c>
      <c r="K43" s="176">
        <f>SUM(K30:K41)</f>
        <v>4385612.4351465115</v>
      </c>
      <c r="L43" s="176"/>
      <c r="M43" s="177">
        <f>SUM(M30:M41)</f>
        <v>2035950.8105900488</v>
      </c>
    </row>
    <row r="44" spans="6:13" ht="15">
      <c r="F44" s="285"/>
      <c r="G44" s="178"/>
      <c r="H44" s="178"/>
      <c r="I44" s="178"/>
      <c r="J44" s="178"/>
      <c r="K44" s="178"/>
      <c r="L44" s="178"/>
      <c r="M44" s="178"/>
    </row>
    <row r="45" spans="7:13" ht="15">
      <c r="G45" s="179" t="s">
        <v>68</v>
      </c>
      <c r="H45" s="178"/>
      <c r="I45" s="178"/>
      <c r="J45" s="178"/>
      <c r="K45" s="178"/>
      <c r="L45" s="178"/>
      <c r="M45" s="180">
        <f>K21+J43-M43</f>
        <v>52000000.80157104</v>
      </c>
    </row>
  </sheetData>
  <sheetProtection/>
  <mergeCells count="6">
    <mergeCell ref="G28:G29"/>
    <mergeCell ref="H28:H29"/>
    <mergeCell ref="A1:C1"/>
    <mergeCell ref="A13:D13"/>
    <mergeCell ref="A26:C26"/>
    <mergeCell ref="G14:M1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48"/>
  <sheetViews>
    <sheetView zoomScalePageLayoutView="0" workbookViewId="0" topLeftCell="A1">
      <selection activeCell="F17" sqref="F17:L48"/>
    </sheetView>
  </sheetViews>
  <sheetFormatPr defaultColWidth="9.140625" defaultRowHeight="12.75"/>
  <cols>
    <col min="2" max="2" width="37.140625" style="0" bestFit="1" customWidth="1"/>
    <col min="3" max="3" width="11.00390625" style="0" bestFit="1" customWidth="1"/>
    <col min="7" max="7" width="20.8515625" style="0" bestFit="1" customWidth="1"/>
    <col min="8" max="8" width="11.421875" style="0" bestFit="1" customWidth="1"/>
    <col min="9" max="9" width="12.28125" style="0" bestFit="1" customWidth="1"/>
    <col min="10" max="10" width="13.28125" style="0" bestFit="1" customWidth="1"/>
    <col min="11" max="11" width="12.8515625" style="0" bestFit="1" customWidth="1"/>
    <col min="12" max="12" width="12.57421875" style="0" bestFit="1" customWidth="1"/>
  </cols>
  <sheetData>
    <row r="1" spans="1:3" ht="13.5" thickBot="1">
      <c r="A1" s="461" t="s">
        <v>242</v>
      </c>
      <c r="B1" s="461"/>
      <c r="C1" s="461"/>
    </row>
    <row r="2" spans="1:3" ht="13.5" thickBot="1">
      <c r="A2" s="3" t="s">
        <v>2</v>
      </c>
      <c r="B2" s="3" t="s">
        <v>3</v>
      </c>
      <c r="C2" s="4" t="s">
        <v>4</v>
      </c>
    </row>
    <row r="3" spans="1:3" ht="12.75">
      <c r="A3" s="5"/>
      <c r="B3" s="6" t="s">
        <v>40</v>
      </c>
      <c r="C3" s="6"/>
    </row>
    <row r="4" spans="1:3" ht="12.75">
      <c r="A4" s="5">
        <v>1</v>
      </c>
      <c r="B4" s="10" t="s">
        <v>87</v>
      </c>
      <c r="C4" s="436">
        <f>0.5*C7</f>
        <v>122463545</v>
      </c>
    </row>
    <row r="5" spans="1:3" ht="12.75">
      <c r="A5" s="5">
        <v>2</v>
      </c>
      <c r="B5" s="10" t="s">
        <v>88</v>
      </c>
      <c r="C5" s="436">
        <f>0.13*C7</f>
        <v>31840521.7</v>
      </c>
    </row>
    <row r="6" spans="1:3" ht="13.5" thickBot="1">
      <c r="A6" s="5">
        <v>3</v>
      </c>
      <c r="B6" s="10" t="s">
        <v>89</v>
      </c>
      <c r="C6" s="436">
        <f>C7-C5-C4</f>
        <v>90623023.30000001</v>
      </c>
    </row>
    <row r="7" spans="1:3" ht="12.75">
      <c r="A7" s="5"/>
      <c r="B7" s="9" t="s">
        <v>8</v>
      </c>
      <c r="C7" s="437">
        <f>C19-C13</f>
        <v>244927090</v>
      </c>
    </row>
    <row r="8" spans="1:3" ht="12.75">
      <c r="A8" s="5"/>
      <c r="B8" s="6" t="s">
        <v>9</v>
      </c>
      <c r="C8" s="6"/>
    </row>
    <row r="9" spans="1:3" ht="12.75">
      <c r="A9" s="5">
        <v>4</v>
      </c>
      <c r="B9" s="10" t="s">
        <v>236</v>
      </c>
      <c r="C9" s="438">
        <f>0.01*C13</f>
        <v>434883.99</v>
      </c>
    </row>
    <row r="10" spans="1:3" ht="12.75">
      <c r="A10" s="5">
        <v>5</v>
      </c>
      <c r="B10" s="10" t="s">
        <v>11</v>
      </c>
      <c r="C10" s="438">
        <f>0.85*C13</f>
        <v>36965139.15</v>
      </c>
    </row>
    <row r="11" spans="1:3" ht="12.75">
      <c r="A11" s="5">
        <v>6</v>
      </c>
      <c r="B11" s="10" t="s">
        <v>12</v>
      </c>
      <c r="C11" s="438">
        <f>0.12*C13</f>
        <v>5218607.88</v>
      </c>
    </row>
    <row r="12" spans="1:3" ht="13.5" thickBot="1">
      <c r="A12" s="5">
        <v>7</v>
      </c>
      <c r="B12" s="10" t="s">
        <v>13</v>
      </c>
      <c r="C12" s="438">
        <f>C13-C9-C10-C11</f>
        <v>869767.9799999995</v>
      </c>
    </row>
    <row r="13" spans="1:3" ht="12.75">
      <c r="A13" s="5"/>
      <c r="B13" s="9" t="s">
        <v>14</v>
      </c>
      <c r="C13" s="437">
        <v>43488399</v>
      </c>
    </row>
    <row r="14" ht="15">
      <c r="A14" s="2"/>
    </row>
    <row r="15" spans="1:3" ht="13.5" thickBot="1">
      <c r="A15" s="461" t="s">
        <v>240</v>
      </c>
      <c r="B15" s="461"/>
      <c r="C15" s="461"/>
    </row>
    <row r="16" spans="1:3" ht="13.5" thickBot="1">
      <c r="A16" s="11" t="s">
        <v>2</v>
      </c>
      <c r="B16" s="3" t="s">
        <v>3</v>
      </c>
      <c r="C16" s="3" t="s">
        <v>16</v>
      </c>
    </row>
    <row r="17" spans="1:12" ht="12.75">
      <c r="A17" s="5">
        <v>1</v>
      </c>
      <c r="B17" s="6" t="s">
        <v>18</v>
      </c>
      <c r="C17" s="436">
        <f>C7</f>
        <v>244927090</v>
      </c>
      <c r="F17" s="498" t="s">
        <v>41</v>
      </c>
      <c r="G17" s="499"/>
      <c r="H17" s="499"/>
      <c r="I17" s="499"/>
      <c r="J17" s="499"/>
      <c r="K17" s="499"/>
      <c r="L17" s="500"/>
    </row>
    <row r="18" spans="1:12" ht="12.75">
      <c r="A18" s="5">
        <v>2</v>
      </c>
      <c r="B18" s="6" t="s">
        <v>78</v>
      </c>
      <c r="C18" s="436">
        <f>C13</f>
        <v>43488399</v>
      </c>
      <c r="F18" s="143"/>
      <c r="G18" s="144"/>
      <c r="H18" s="144"/>
      <c r="I18" s="144"/>
      <c r="J18" s="144"/>
      <c r="K18" s="144"/>
      <c r="L18" s="145"/>
    </row>
    <row r="19" spans="1:12" ht="12.75">
      <c r="A19" s="5">
        <v>3</v>
      </c>
      <c r="B19" s="6" t="s">
        <v>20</v>
      </c>
      <c r="C19" s="436">
        <v>288415489</v>
      </c>
      <c r="F19" s="146"/>
      <c r="G19" s="147" t="s">
        <v>42</v>
      </c>
      <c r="H19" s="148"/>
      <c r="I19" s="148"/>
      <c r="J19" s="148"/>
      <c r="K19" s="148"/>
      <c r="L19" s="149"/>
    </row>
    <row r="20" spans="1:12" ht="12.75">
      <c r="A20" s="5">
        <v>4</v>
      </c>
      <c r="B20" s="6" t="s">
        <v>21</v>
      </c>
      <c r="C20" s="12">
        <v>0.06</v>
      </c>
      <c r="F20" s="146"/>
      <c r="G20" s="150" t="s">
        <v>21</v>
      </c>
      <c r="H20" s="151"/>
      <c r="I20" s="151"/>
      <c r="J20" s="152">
        <v>0.06</v>
      </c>
      <c r="K20" s="148"/>
      <c r="L20" s="149"/>
    </row>
    <row r="21" spans="1:12" ht="12.75">
      <c r="A21" s="5">
        <v>5</v>
      </c>
      <c r="B21" s="6" t="s">
        <v>23</v>
      </c>
      <c r="C21" s="12">
        <f>C20/12</f>
        <v>0.005</v>
      </c>
      <c r="F21" s="146"/>
      <c r="G21" s="153" t="s">
        <v>23</v>
      </c>
      <c r="H21" s="148"/>
      <c r="I21" s="148"/>
      <c r="J21" s="154">
        <v>0.005</v>
      </c>
      <c r="K21" s="148"/>
      <c r="L21" s="149"/>
    </row>
    <row r="22" spans="1:12" ht="12.75">
      <c r="A22" s="5">
        <v>6</v>
      </c>
      <c r="B22" s="6" t="s">
        <v>24</v>
      </c>
      <c r="C22" s="12">
        <v>20</v>
      </c>
      <c r="F22" s="146"/>
      <c r="G22" s="153" t="s">
        <v>24</v>
      </c>
      <c r="H22" s="148"/>
      <c r="I22" s="148"/>
      <c r="J22" s="155">
        <v>20</v>
      </c>
      <c r="K22" s="148"/>
      <c r="L22" s="149"/>
    </row>
    <row r="23" spans="1:12" ht="12.75">
      <c r="A23" s="5">
        <v>7</v>
      </c>
      <c r="B23" s="6" t="s">
        <v>26</v>
      </c>
      <c r="C23" s="12">
        <v>240</v>
      </c>
      <c r="F23" s="146"/>
      <c r="G23" s="153" t="s">
        <v>26</v>
      </c>
      <c r="H23" s="148"/>
      <c r="I23" s="148"/>
      <c r="J23" s="155">
        <v>240</v>
      </c>
      <c r="K23" s="148"/>
      <c r="L23" s="149"/>
    </row>
    <row r="24" spans="1:12" ht="12.75">
      <c r="A24" s="5">
        <v>8</v>
      </c>
      <c r="B24" s="6" t="s">
        <v>27</v>
      </c>
      <c r="C24" s="436">
        <f>PMT(C21,C23,C19)*-1</f>
        <v>2066298.140657675</v>
      </c>
      <c r="F24" s="146"/>
      <c r="G24" s="153" t="s">
        <v>43</v>
      </c>
      <c r="H24" s="148"/>
      <c r="I24" s="148"/>
      <c r="J24" s="440">
        <f>C19</f>
        <v>288415489</v>
      </c>
      <c r="K24" s="148"/>
      <c r="L24" s="149"/>
    </row>
    <row r="25" spans="1:12" ht="12.75">
      <c r="A25" s="5">
        <v>9</v>
      </c>
      <c r="B25" s="6" t="s">
        <v>28</v>
      </c>
      <c r="C25" s="436">
        <f>C24*12</f>
        <v>24795577.6878921</v>
      </c>
      <c r="F25" s="146"/>
      <c r="G25" s="153"/>
      <c r="H25" s="148"/>
      <c r="I25" s="148"/>
      <c r="J25" s="157"/>
      <c r="K25" s="148"/>
      <c r="L25" s="149"/>
    </row>
    <row r="26" spans="1:12" ht="12.75">
      <c r="A26" s="5">
        <v>10</v>
      </c>
      <c r="B26" s="10" t="s">
        <v>29</v>
      </c>
      <c r="C26" s="436">
        <f>L46</f>
        <v>11510952.515580868</v>
      </c>
      <c r="F26" s="146"/>
      <c r="G26" s="153" t="s">
        <v>44</v>
      </c>
      <c r="H26" s="148"/>
      <c r="I26" s="148"/>
      <c r="J26" s="158">
        <f>PMT(J21,J23,J24)*-1</f>
        <v>2066298.140657675</v>
      </c>
      <c r="K26" s="148"/>
      <c r="L26" s="149"/>
    </row>
    <row r="27" spans="1:12" ht="15">
      <c r="A27" s="2"/>
      <c r="F27" s="146"/>
      <c r="G27" s="153" t="s">
        <v>45</v>
      </c>
      <c r="H27" s="148"/>
      <c r="I27" s="148"/>
      <c r="J27" s="158">
        <f>J26*12</f>
        <v>24795577.6878921</v>
      </c>
      <c r="K27" s="148"/>
      <c r="L27" s="149"/>
    </row>
    <row r="28" spans="1:12" ht="12.75">
      <c r="A28" s="462" t="s">
        <v>239</v>
      </c>
      <c r="B28" s="462"/>
      <c r="C28" s="462"/>
      <c r="F28" s="146"/>
      <c r="G28" s="159" t="s">
        <v>46</v>
      </c>
      <c r="H28" s="160"/>
      <c r="I28" s="160"/>
      <c r="J28" s="161">
        <f>J27*J22</f>
        <v>495911553.75784206</v>
      </c>
      <c r="K28" s="148"/>
      <c r="L28" s="149"/>
    </row>
    <row r="29" spans="1:12" ht="13.5" thickBot="1">
      <c r="A29" s="11" t="s">
        <v>2</v>
      </c>
      <c r="B29" s="3" t="s">
        <v>3</v>
      </c>
      <c r="C29" s="3" t="s">
        <v>16</v>
      </c>
      <c r="F29" s="146"/>
      <c r="G29" s="148"/>
      <c r="H29" s="148"/>
      <c r="I29" s="148"/>
      <c r="J29" s="148"/>
      <c r="K29" s="148"/>
      <c r="L29" s="149"/>
    </row>
    <row r="30" spans="1:12" ht="12.75">
      <c r="A30" s="5"/>
      <c r="B30" s="6" t="s">
        <v>31</v>
      </c>
      <c r="C30" s="12"/>
      <c r="F30" s="146" t="s">
        <v>47</v>
      </c>
      <c r="G30" s="148"/>
      <c r="H30" s="148"/>
      <c r="I30" s="148"/>
      <c r="J30" s="148"/>
      <c r="K30" s="148"/>
      <c r="L30" s="149"/>
    </row>
    <row r="31" spans="1:12" ht="24">
      <c r="A31" s="5">
        <v>1</v>
      </c>
      <c r="B31" s="10" t="s">
        <v>93</v>
      </c>
      <c r="C31" s="436">
        <v>205000</v>
      </c>
      <c r="F31" s="494" t="s">
        <v>48</v>
      </c>
      <c r="G31" s="496" t="s">
        <v>49</v>
      </c>
      <c r="H31" s="162" t="s">
        <v>50</v>
      </c>
      <c r="I31" s="162" t="s">
        <v>51</v>
      </c>
      <c r="J31" s="162" t="s">
        <v>52</v>
      </c>
      <c r="K31" s="162" t="s">
        <v>53</v>
      </c>
      <c r="L31" s="163" t="s">
        <v>67</v>
      </c>
    </row>
    <row r="32" spans="1:12" ht="14.25" thickBot="1">
      <c r="A32" s="3"/>
      <c r="B32" s="13" t="s">
        <v>32</v>
      </c>
      <c r="C32" s="439">
        <f>SUM(C31:C31)</f>
        <v>205000</v>
      </c>
      <c r="F32" s="495"/>
      <c r="G32" s="497"/>
      <c r="H32" s="164" t="s">
        <v>69</v>
      </c>
      <c r="I32" s="164" t="s">
        <v>70</v>
      </c>
      <c r="J32" s="164" t="s">
        <v>71</v>
      </c>
      <c r="K32" s="164" t="s">
        <v>72</v>
      </c>
      <c r="L32" s="165"/>
    </row>
    <row r="33" spans="1:12" ht="12.75">
      <c r="A33" s="5"/>
      <c r="B33" s="6" t="s">
        <v>37</v>
      </c>
      <c r="C33" s="12"/>
      <c r="F33" s="166" t="s">
        <v>54</v>
      </c>
      <c r="G33" s="167">
        <v>1</v>
      </c>
      <c r="H33" s="168">
        <f>PPMT($J$21,G33,$J$23,$J$24)*-1</f>
        <v>624220.695657675</v>
      </c>
      <c r="I33" s="168">
        <f>J33-H33</f>
        <v>1442077.4449999998</v>
      </c>
      <c r="J33" s="168">
        <f>$J$26</f>
        <v>2066298.140657675</v>
      </c>
      <c r="K33" s="169">
        <f>$J$24-H33</f>
        <v>287791268.3043423</v>
      </c>
      <c r="L33" s="170">
        <f>K33*(0.04/12)</f>
        <v>959304.2276811411</v>
      </c>
    </row>
    <row r="34" spans="1:12" ht="12.75">
      <c r="A34" s="5">
        <v>2</v>
      </c>
      <c r="B34" s="10" t="s">
        <v>38</v>
      </c>
      <c r="C34" s="99">
        <v>13.69</v>
      </c>
      <c r="F34" s="171" t="s">
        <v>55</v>
      </c>
      <c r="G34" s="172">
        <v>2</v>
      </c>
      <c r="H34" s="168">
        <f aca="true" t="shared" si="0" ref="H34:H44">PPMT($J$21,G34,$J$23,$J$24)*-1</f>
        <v>627341.7991359634</v>
      </c>
      <c r="I34" s="168">
        <f aca="true" t="shared" si="1" ref="I34:I44">J34-H34</f>
        <v>1438956.3415217116</v>
      </c>
      <c r="J34" s="168">
        <f aca="true" t="shared" si="2" ref="J34:J44">$J$26</f>
        <v>2066298.140657675</v>
      </c>
      <c r="K34" s="169">
        <f aca="true" t="shared" si="3" ref="K34:K44">$J$24-H34</f>
        <v>287788147.200864</v>
      </c>
      <c r="L34" s="170">
        <f aca="true" t="shared" si="4" ref="L34:L44">K34*(0.04/12)</f>
        <v>959293.8240028801</v>
      </c>
    </row>
    <row r="35" spans="1:12" ht="12.75">
      <c r="A35" s="5">
        <v>3</v>
      </c>
      <c r="B35" s="10" t="s">
        <v>39</v>
      </c>
      <c r="C35" s="99">
        <v>4460</v>
      </c>
      <c r="F35" s="171" t="s">
        <v>56</v>
      </c>
      <c r="G35" s="172">
        <v>3</v>
      </c>
      <c r="H35" s="168">
        <f t="shared" si="0"/>
        <v>630478.5081316432</v>
      </c>
      <c r="I35" s="168">
        <f t="shared" si="1"/>
        <v>1435819.6325260317</v>
      </c>
      <c r="J35" s="168">
        <f t="shared" si="2"/>
        <v>2066298.140657675</v>
      </c>
      <c r="K35" s="169">
        <f t="shared" si="3"/>
        <v>287785010.4918684</v>
      </c>
      <c r="L35" s="170">
        <f t="shared" si="4"/>
        <v>959283.368306228</v>
      </c>
    </row>
    <row r="36" spans="6:12" ht="12.75">
      <c r="F36" s="171" t="s">
        <v>57</v>
      </c>
      <c r="G36" s="172">
        <v>4</v>
      </c>
      <c r="H36" s="168">
        <f t="shared" si="0"/>
        <v>633630.9006723014</v>
      </c>
      <c r="I36" s="168">
        <f t="shared" si="1"/>
        <v>1432667.2399853736</v>
      </c>
      <c r="J36" s="168">
        <f t="shared" si="2"/>
        <v>2066298.140657675</v>
      </c>
      <c r="K36" s="169">
        <f t="shared" si="3"/>
        <v>287781858.0993277</v>
      </c>
      <c r="L36" s="170">
        <f t="shared" si="4"/>
        <v>959272.8603310924</v>
      </c>
    </row>
    <row r="37" spans="6:12" ht="12.75">
      <c r="F37" s="171" t="s">
        <v>58</v>
      </c>
      <c r="G37" s="172">
        <v>5</v>
      </c>
      <c r="H37" s="168">
        <f t="shared" si="0"/>
        <v>636799.0551756629</v>
      </c>
      <c r="I37" s="168">
        <f t="shared" si="1"/>
        <v>1429499.085482012</v>
      </c>
      <c r="J37" s="168">
        <f t="shared" si="2"/>
        <v>2066298.140657675</v>
      </c>
      <c r="K37" s="169">
        <f t="shared" si="3"/>
        <v>287778689.94482434</v>
      </c>
      <c r="L37" s="170">
        <f t="shared" si="4"/>
        <v>959262.2998160812</v>
      </c>
    </row>
    <row r="38" spans="6:12" ht="12.75">
      <c r="F38" s="171" t="s">
        <v>59</v>
      </c>
      <c r="G38" s="172">
        <v>6</v>
      </c>
      <c r="H38" s="168">
        <f t="shared" si="0"/>
        <v>639983.0504515413</v>
      </c>
      <c r="I38" s="168">
        <f t="shared" si="1"/>
        <v>1426315.0902061337</v>
      </c>
      <c r="J38" s="168">
        <f t="shared" si="2"/>
        <v>2066298.140657675</v>
      </c>
      <c r="K38" s="169">
        <f t="shared" si="3"/>
        <v>287775505.9495485</v>
      </c>
      <c r="L38" s="170">
        <f t="shared" si="4"/>
        <v>959251.686498495</v>
      </c>
    </row>
    <row r="39" spans="6:12" ht="12.75">
      <c r="F39" s="171" t="s">
        <v>60</v>
      </c>
      <c r="G39" s="172">
        <v>7</v>
      </c>
      <c r="H39" s="168">
        <f t="shared" si="0"/>
        <v>643182.9657037989</v>
      </c>
      <c r="I39" s="168">
        <f t="shared" si="1"/>
        <v>1423115.174953876</v>
      </c>
      <c r="J39" s="168">
        <f t="shared" si="2"/>
        <v>2066298.140657675</v>
      </c>
      <c r="K39" s="169">
        <f t="shared" si="3"/>
        <v>287772306.0342962</v>
      </c>
      <c r="L39" s="170">
        <f t="shared" si="4"/>
        <v>959241.0201143208</v>
      </c>
    </row>
    <row r="40" spans="6:12" ht="12.75">
      <c r="F40" s="171" t="s">
        <v>61</v>
      </c>
      <c r="G40" s="172">
        <v>8</v>
      </c>
      <c r="H40" s="168">
        <f t="shared" si="0"/>
        <v>646398.880532318</v>
      </c>
      <c r="I40" s="168">
        <f t="shared" si="1"/>
        <v>1419899.260125357</v>
      </c>
      <c r="J40" s="168">
        <f t="shared" si="2"/>
        <v>2066298.140657675</v>
      </c>
      <c r="K40" s="169">
        <f t="shared" si="3"/>
        <v>287769090.1194677</v>
      </c>
      <c r="L40" s="170">
        <f t="shared" si="4"/>
        <v>959230.3003982257</v>
      </c>
    </row>
    <row r="41" spans="6:12" ht="12.75">
      <c r="F41" s="171" t="s">
        <v>62</v>
      </c>
      <c r="G41" s="172">
        <v>9</v>
      </c>
      <c r="H41" s="168">
        <f t="shared" si="0"/>
        <v>649630.8749349796</v>
      </c>
      <c r="I41" s="168">
        <f t="shared" si="1"/>
        <v>1416667.2657226953</v>
      </c>
      <c r="J41" s="168">
        <f t="shared" si="2"/>
        <v>2066298.140657675</v>
      </c>
      <c r="K41" s="169">
        <f t="shared" si="3"/>
        <v>287765858.125065</v>
      </c>
      <c r="L41" s="170">
        <f t="shared" si="4"/>
        <v>959219.5270835501</v>
      </c>
    </row>
    <row r="42" spans="6:12" ht="12.75">
      <c r="F42" s="171" t="s">
        <v>63</v>
      </c>
      <c r="G42" s="172">
        <v>10</v>
      </c>
      <c r="H42" s="168">
        <f t="shared" si="0"/>
        <v>652879.0293096544</v>
      </c>
      <c r="I42" s="168">
        <f t="shared" si="1"/>
        <v>1413419.1113480206</v>
      </c>
      <c r="J42" s="168">
        <f t="shared" si="2"/>
        <v>2066298.140657675</v>
      </c>
      <c r="K42" s="169">
        <f t="shared" si="3"/>
        <v>287762609.97069037</v>
      </c>
      <c r="L42" s="170">
        <f t="shared" si="4"/>
        <v>959208.6999023013</v>
      </c>
    </row>
    <row r="43" spans="6:12" ht="12.75">
      <c r="F43" s="171" t="s">
        <v>64</v>
      </c>
      <c r="G43" s="172">
        <v>11</v>
      </c>
      <c r="H43" s="168">
        <f t="shared" si="0"/>
        <v>656143.4244562027</v>
      </c>
      <c r="I43" s="168">
        <f t="shared" si="1"/>
        <v>1410154.7162014723</v>
      </c>
      <c r="J43" s="168">
        <f t="shared" si="2"/>
        <v>2066298.140657675</v>
      </c>
      <c r="K43" s="169">
        <f t="shared" si="3"/>
        <v>287759345.5755438</v>
      </c>
      <c r="L43" s="170">
        <f t="shared" si="4"/>
        <v>959197.8185851461</v>
      </c>
    </row>
    <row r="44" spans="6:12" ht="12.75">
      <c r="F44" s="171" t="s">
        <v>65</v>
      </c>
      <c r="G44" s="172">
        <v>12</v>
      </c>
      <c r="H44" s="168">
        <f t="shared" si="0"/>
        <v>659424.1415784836</v>
      </c>
      <c r="I44" s="168">
        <f t="shared" si="1"/>
        <v>1406873.9990791914</v>
      </c>
      <c r="J44" s="168">
        <f t="shared" si="2"/>
        <v>2066298.140657675</v>
      </c>
      <c r="K44" s="169">
        <f t="shared" si="3"/>
        <v>287756064.8584215</v>
      </c>
      <c r="L44" s="170">
        <f t="shared" si="4"/>
        <v>959186.882861405</v>
      </c>
    </row>
    <row r="45" spans="6:12" ht="12.75">
      <c r="F45" s="146"/>
      <c r="G45" s="148"/>
      <c r="H45" s="148"/>
      <c r="I45" s="148"/>
      <c r="J45" s="148"/>
      <c r="K45" s="148"/>
      <c r="L45" s="173"/>
    </row>
    <row r="46" spans="6:12" ht="13.5" thickBot="1">
      <c r="F46" s="174" t="s">
        <v>66</v>
      </c>
      <c r="G46" s="175"/>
      <c r="H46" s="176">
        <f>SUM(H33:H44)</f>
        <v>7700113.325740224</v>
      </c>
      <c r="I46" s="176">
        <f>SUM(I33:I44)</f>
        <v>17095464.362151876</v>
      </c>
      <c r="J46" s="176">
        <f>SUM(J33:J44)</f>
        <v>24795577.687892098</v>
      </c>
      <c r="K46" s="176"/>
      <c r="L46" s="177">
        <f>SUM(L33:L44)</f>
        <v>11510952.515580868</v>
      </c>
    </row>
    <row r="47" spans="6:12" ht="15">
      <c r="F47" s="178"/>
      <c r="G47" s="178"/>
      <c r="H47" s="178"/>
      <c r="I47" s="178"/>
      <c r="J47" s="178"/>
      <c r="K47" s="178"/>
      <c r="L47" s="178"/>
    </row>
    <row r="48" spans="6:12" ht="15">
      <c r="F48" s="179" t="s">
        <v>68</v>
      </c>
      <c r="G48" s="178"/>
      <c r="H48" s="178"/>
      <c r="I48" s="178"/>
      <c r="J48" s="178"/>
      <c r="K48" s="178"/>
      <c r="L48" s="441">
        <f>J24+I46-L46</f>
        <v>294000000.84657097</v>
      </c>
    </row>
  </sheetData>
  <sheetProtection/>
  <mergeCells count="6">
    <mergeCell ref="F31:F32"/>
    <mergeCell ref="G31:G32"/>
    <mergeCell ref="A1:C1"/>
    <mergeCell ref="A15:C15"/>
    <mergeCell ref="F17:L17"/>
    <mergeCell ref="A28:C28"/>
  </mergeCells>
  <printOptions/>
  <pageMargins left="0.75" right="0.75" top="1" bottom="1" header="0.5" footer="0.5"/>
  <pageSetup horizontalDpi="600" verticalDpi="600" orientation="portrait" scale="95" r:id="rId1"/>
</worksheet>
</file>

<file path=xl/worksheets/sheet14.xml><?xml version="1.0" encoding="utf-8"?>
<worksheet xmlns="http://schemas.openxmlformats.org/spreadsheetml/2006/main" xmlns:r="http://schemas.openxmlformats.org/officeDocument/2006/relationships">
  <dimension ref="A1:M48"/>
  <sheetViews>
    <sheetView zoomScalePageLayoutView="0" workbookViewId="0" topLeftCell="A1">
      <selection activeCell="G17" sqref="G17:M48"/>
    </sheetView>
  </sheetViews>
  <sheetFormatPr defaultColWidth="9.140625" defaultRowHeight="12.75"/>
  <cols>
    <col min="2" max="2" width="41.00390625" style="0" bestFit="1" customWidth="1"/>
    <col min="3" max="3" width="14.140625" style="0" bestFit="1" customWidth="1"/>
    <col min="9" max="10" width="11.421875" style="0" bestFit="1" customWidth="1"/>
    <col min="11" max="11" width="13.28125" style="0" bestFit="1" customWidth="1"/>
    <col min="12" max="12" width="12.00390625" style="0" bestFit="1" customWidth="1"/>
    <col min="13" max="13" width="14.00390625" style="0" bestFit="1" customWidth="1"/>
  </cols>
  <sheetData>
    <row r="1" spans="1:3" ht="13.5" thickBot="1">
      <c r="A1" s="461" t="s">
        <v>243</v>
      </c>
      <c r="B1" s="461"/>
      <c r="C1" s="461"/>
    </row>
    <row r="2" spans="1:3" ht="13.5" thickBot="1">
      <c r="A2" s="3" t="s">
        <v>2</v>
      </c>
      <c r="B2" s="3" t="s">
        <v>3</v>
      </c>
      <c r="C2" s="4" t="s">
        <v>4</v>
      </c>
    </row>
    <row r="3" spans="1:3" ht="12.75">
      <c r="A3" s="5"/>
      <c r="B3" s="6" t="s">
        <v>40</v>
      </c>
      <c r="C3" s="6"/>
    </row>
    <row r="4" spans="1:3" ht="12.75">
      <c r="A4" s="5">
        <v>1</v>
      </c>
      <c r="B4" s="10" t="s">
        <v>87</v>
      </c>
      <c r="C4" s="448">
        <f>0.5*C7</f>
        <v>8981539.405</v>
      </c>
    </row>
    <row r="5" spans="1:3" ht="12.75">
      <c r="A5" s="5">
        <v>2</v>
      </c>
      <c r="B5" s="10" t="s">
        <v>88</v>
      </c>
      <c r="C5" s="448">
        <f>0.47*C7</f>
        <v>8442647.0407</v>
      </c>
    </row>
    <row r="6" spans="1:3" ht="13.5" thickBot="1">
      <c r="A6" s="5">
        <v>3</v>
      </c>
      <c r="B6" s="10" t="s">
        <v>89</v>
      </c>
      <c r="C6" s="448">
        <f>C7-C4-C5</f>
        <v>538892.3642999995</v>
      </c>
    </row>
    <row r="7" spans="1:3" ht="12.75">
      <c r="A7" s="5"/>
      <c r="B7" s="9" t="s">
        <v>8</v>
      </c>
      <c r="C7" s="449">
        <f>C17</f>
        <v>17963078.81</v>
      </c>
    </row>
    <row r="8" spans="1:3" ht="12.75">
      <c r="A8" s="5"/>
      <c r="B8" s="6" t="s">
        <v>9</v>
      </c>
      <c r="C8" s="450"/>
    </row>
    <row r="9" spans="1:3" ht="12.75">
      <c r="A9" s="5">
        <v>4</v>
      </c>
      <c r="B9" s="10" t="s">
        <v>10</v>
      </c>
      <c r="C9" s="450">
        <f>C13*0.01</f>
        <v>73370.32190000001</v>
      </c>
    </row>
    <row r="10" spans="1:3" ht="12.75">
      <c r="A10" s="5">
        <v>5</v>
      </c>
      <c r="B10" s="10" t="s">
        <v>11</v>
      </c>
      <c r="C10" s="450">
        <f>C13*0.85</f>
        <v>6236477.361500001</v>
      </c>
    </row>
    <row r="11" spans="1:3" ht="12.75">
      <c r="A11" s="5">
        <v>6</v>
      </c>
      <c r="B11" s="10" t="s">
        <v>12</v>
      </c>
      <c r="C11" s="450">
        <f>C13*0.12</f>
        <v>880443.8628000001</v>
      </c>
    </row>
    <row r="12" spans="1:3" ht="13.5" thickBot="1">
      <c r="A12" s="5">
        <v>7</v>
      </c>
      <c r="B12" s="10" t="s">
        <v>13</v>
      </c>
      <c r="C12" s="450">
        <f>C13-C9-C10-C11</f>
        <v>146740.64380000078</v>
      </c>
    </row>
    <row r="13" spans="1:3" ht="12.75">
      <c r="A13" s="5"/>
      <c r="B13" s="9" t="s">
        <v>14</v>
      </c>
      <c r="C13" s="449">
        <f>C18</f>
        <v>7337032.190000001</v>
      </c>
    </row>
    <row r="14" ht="15">
      <c r="A14" s="2"/>
    </row>
    <row r="15" spans="1:4" ht="13.5" thickBot="1">
      <c r="A15" s="461" t="s">
        <v>245</v>
      </c>
      <c r="B15" s="461"/>
      <c r="C15" s="461"/>
      <c r="D15" s="461"/>
    </row>
    <row r="16" spans="1:4" ht="13.5" thickBot="1">
      <c r="A16" s="11" t="s">
        <v>2</v>
      </c>
      <c r="B16" s="3" t="s">
        <v>3</v>
      </c>
      <c r="C16" s="3" t="s">
        <v>16</v>
      </c>
      <c r="D16" s="3" t="s">
        <v>17</v>
      </c>
    </row>
    <row r="17" spans="1:13" ht="12.75">
      <c r="A17" s="5">
        <v>1</v>
      </c>
      <c r="B17" s="6" t="s">
        <v>18</v>
      </c>
      <c r="C17" s="448">
        <f>0.71*C19</f>
        <v>17963078.81</v>
      </c>
      <c r="D17" s="5" t="s">
        <v>4</v>
      </c>
      <c r="G17" s="498" t="s">
        <v>41</v>
      </c>
      <c r="H17" s="499"/>
      <c r="I17" s="499"/>
      <c r="J17" s="499"/>
      <c r="K17" s="499"/>
      <c r="L17" s="499"/>
      <c r="M17" s="500"/>
    </row>
    <row r="18" spans="1:13" ht="12.75">
      <c r="A18" s="5">
        <v>2</v>
      </c>
      <c r="B18" s="6" t="s">
        <v>78</v>
      </c>
      <c r="C18" s="448">
        <f>C19-C17</f>
        <v>7337032.190000001</v>
      </c>
      <c r="D18" s="5" t="s">
        <v>4</v>
      </c>
      <c r="G18" s="143"/>
      <c r="H18" s="144"/>
      <c r="I18" s="144"/>
      <c r="J18" s="144"/>
      <c r="K18" s="144"/>
      <c r="L18" s="144"/>
      <c r="M18" s="145"/>
    </row>
    <row r="19" spans="1:13" ht="12.75">
      <c r="A19" s="5">
        <v>3</v>
      </c>
      <c r="B19" s="6" t="s">
        <v>20</v>
      </c>
      <c r="C19" s="452">
        <v>25300111</v>
      </c>
      <c r="D19" s="5" t="s">
        <v>4</v>
      </c>
      <c r="G19" s="146"/>
      <c r="H19" s="147" t="s">
        <v>42</v>
      </c>
      <c r="I19" s="148"/>
      <c r="J19" s="148"/>
      <c r="K19" s="148"/>
      <c r="L19" s="148"/>
      <c r="M19" s="149"/>
    </row>
    <row r="20" spans="1:13" ht="12.75">
      <c r="A20" s="5">
        <v>4</v>
      </c>
      <c r="B20" s="6" t="s">
        <v>21</v>
      </c>
      <c r="C20" s="448">
        <v>0.06</v>
      </c>
      <c r="D20" s="5" t="s">
        <v>22</v>
      </c>
      <c r="G20" s="146"/>
      <c r="H20" s="150" t="s">
        <v>21</v>
      </c>
      <c r="I20" s="151"/>
      <c r="J20" s="151"/>
      <c r="K20" s="152">
        <v>0.06</v>
      </c>
      <c r="L20" s="148"/>
      <c r="M20" s="149"/>
    </row>
    <row r="21" spans="1:13" ht="12.75">
      <c r="A21" s="5">
        <v>5</v>
      </c>
      <c r="B21" s="6" t="s">
        <v>23</v>
      </c>
      <c r="C21" s="448">
        <f>C20/12</f>
        <v>0.005</v>
      </c>
      <c r="D21" s="5" t="s">
        <v>22</v>
      </c>
      <c r="G21" s="146"/>
      <c r="H21" s="153" t="s">
        <v>23</v>
      </c>
      <c r="I21" s="148"/>
      <c r="J21" s="148"/>
      <c r="K21" s="154">
        <v>0.005</v>
      </c>
      <c r="L21" s="148"/>
      <c r="M21" s="149"/>
    </row>
    <row r="22" spans="1:13" ht="12.75">
      <c r="A22" s="5">
        <v>6</v>
      </c>
      <c r="B22" s="6" t="s">
        <v>24</v>
      </c>
      <c r="C22" s="448">
        <v>20</v>
      </c>
      <c r="D22" s="5" t="s">
        <v>25</v>
      </c>
      <c r="G22" s="146"/>
      <c r="H22" s="153" t="s">
        <v>24</v>
      </c>
      <c r="I22" s="148"/>
      <c r="J22" s="148"/>
      <c r="K22" s="155">
        <v>20</v>
      </c>
      <c r="L22" s="148"/>
      <c r="M22" s="149"/>
    </row>
    <row r="23" spans="1:13" ht="12.75">
      <c r="A23" s="5">
        <v>7</v>
      </c>
      <c r="B23" s="6" t="s">
        <v>26</v>
      </c>
      <c r="C23" s="448">
        <v>240</v>
      </c>
      <c r="D23" s="5" t="s">
        <v>22</v>
      </c>
      <c r="G23" s="146"/>
      <c r="H23" s="153" t="s">
        <v>26</v>
      </c>
      <c r="I23" s="148"/>
      <c r="J23" s="148"/>
      <c r="K23" s="155">
        <v>240</v>
      </c>
      <c r="L23" s="148"/>
      <c r="M23" s="149"/>
    </row>
    <row r="24" spans="1:13" ht="12.75">
      <c r="A24" s="5">
        <v>8</v>
      </c>
      <c r="B24" s="6" t="s">
        <v>27</v>
      </c>
      <c r="C24" s="448">
        <f>PMT(C21,C23,C19)*-1</f>
        <v>181257.85303345064</v>
      </c>
      <c r="D24" s="5" t="s">
        <v>4</v>
      </c>
      <c r="G24" s="146"/>
      <c r="H24" s="153" t="s">
        <v>43</v>
      </c>
      <c r="I24" s="148"/>
      <c r="J24" s="148"/>
      <c r="K24" s="440">
        <f>C19</f>
        <v>25300111</v>
      </c>
      <c r="L24" s="148"/>
      <c r="M24" s="149"/>
    </row>
    <row r="25" spans="1:13" ht="12.75">
      <c r="A25" s="5">
        <v>9</v>
      </c>
      <c r="B25" s="6" t="s">
        <v>28</v>
      </c>
      <c r="C25" s="448">
        <f>C24*12</f>
        <v>2175094.2364014075</v>
      </c>
      <c r="D25" s="5" t="s">
        <v>4</v>
      </c>
      <c r="G25" s="146"/>
      <c r="H25" s="153"/>
      <c r="I25" s="148"/>
      <c r="J25" s="148"/>
      <c r="K25" s="157"/>
      <c r="L25" s="148"/>
      <c r="M25" s="149"/>
    </row>
    <row r="26" spans="1:13" ht="12.75">
      <c r="A26" s="5">
        <v>10</v>
      </c>
      <c r="B26" s="10" t="s">
        <v>29</v>
      </c>
      <c r="C26" s="448">
        <f>M46</f>
        <v>1009752.8997824563</v>
      </c>
      <c r="D26" s="5" t="s">
        <v>4</v>
      </c>
      <c r="G26" s="146"/>
      <c r="H26" s="153" t="s">
        <v>44</v>
      </c>
      <c r="I26" s="148"/>
      <c r="J26" s="148"/>
      <c r="K26" s="158">
        <f>PMT(K21,K23,K24)*-1</f>
        <v>181257.85303345064</v>
      </c>
      <c r="L26" s="148"/>
      <c r="M26" s="149"/>
    </row>
    <row r="27" spans="1:13" ht="15">
      <c r="A27" s="2"/>
      <c r="G27" s="146"/>
      <c r="H27" s="153" t="s">
        <v>45</v>
      </c>
      <c r="I27" s="148"/>
      <c r="J27" s="148"/>
      <c r="K27" s="158">
        <f>K26*12</f>
        <v>2175094.2364014075</v>
      </c>
      <c r="L27" s="148"/>
      <c r="M27" s="149"/>
    </row>
    <row r="28" spans="1:13" ht="28.5" customHeight="1">
      <c r="A28" s="462" t="s">
        <v>244</v>
      </c>
      <c r="B28" s="462"/>
      <c r="C28" s="462"/>
      <c r="G28" s="146"/>
      <c r="H28" s="159" t="s">
        <v>46</v>
      </c>
      <c r="I28" s="160"/>
      <c r="J28" s="160"/>
      <c r="K28" s="161">
        <f>K27*K22</f>
        <v>43501884.72802815</v>
      </c>
      <c r="L28" s="148"/>
      <c r="M28" s="149"/>
    </row>
    <row r="29" spans="1:13" ht="13.5" thickBot="1">
      <c r="A29" s="11" t="s">
        <v>2</v>
      </c>
      <c r="B29" s="3" t="s">
        <v>3</v>
      </c>
      <c r="C29" s="3" t="s">
        <v>16</v>
      </c>
      <c r="G29" s="146"/>
      <c r="H29" s="148"/>
      <c r="I29" s="148"/>
      <c r="J29" s="148"/>
      <c r="K29" s="148"/>
      <c r="L29" s="148"/>
      <c r="M29" s="149"/>
    </row>
    <row r="30" spans="1:13" ht="12.75">
      <c r="A30" s="5"/>
      <c r="B30" s="6" t="s">
        <v>31</v>
      </c>
      <c r="C30" s="12"/>
      <c r="G30" s="146" t="s">
        <v>47</v>
      </c>
      <c r="H30" s="148"/>
      <c r="I30" s="148"/>
      <c r="J30" s="148"/>
      <c r="K30" s="148"/>
      <c r="L30" s="148"/>
      <c r="M30" s="149"/>
    </row>
    <row r="31" spans="1:13" ht="24">
      <c r="A31" s="5"/>
      <c r="B31" s="10"/>
      <c r="C31" s="8"/>
      <c r="G31" s="494" t="s">
        <v>48</v>
      </c>
      <c r="H31" s="496" t="s">
        <v>49</v>
      </c>
      <c r="I31" s="162" t="s">
        <v>50</v>
      </c>
      <c r="J31" s="162" t="s">
        <v>51</v>
      </c>
      <c r="K31" s="162" t="s">
        <v>52</v>
      </c>
      <c r="L31" s="162" t="s">
        <v>53</v>
      </c>
      <c r="M31" s="163" t="s">
        <v>67</v>
      </c>
    </row>
    <row r="32" spans="1:13" ht="14.25" thickBot="1">
      <c r="A32" s="5">
        <v>2</v>
      </c>
      <c r="B32" s="10" t="s">
        <v>92</v>
      </c>
      <c r="C32" s="436">
        <f>0.87*C34</f>
        <v>47850</v>
      </c>
      <c r="G32" s="495"/>
      <c r="H32" s="497"/>
      <c r="I32" s="164" t="s">
        <v>69</v>
      </c>
      <c r="J32" s="164" t="s">
        <v>70</v>
      </c>
      <c r="K32" s="164" t="s">
        <v>71</v>
      </c>
      <c r="L32" s="164" t="s">
        <v>72</v>
      </c>
      <c r="M32" s="165"/>
    </row>
    <row r="33" spans="1:13" ht="12.75">
      <c r="A33" s="5">
        <v>3</v>
      </c>
      <c r="B33" s="10" t="s">
        <v>93</v>
      </c>
      <c r="C33" s="436">
        <f>C34-C32</f>
        <v>7150</v>
      </c>
      <c r="G33" s="166" t="s">
        <v>54</v>
      </c>
      <c r="H33" s="167">
        <v>1</v>
      </c>
      <c r="I33" s="168">
        <f>PPMT($K$21,H33,$K$23,$K$24)*-1</f>
        <v>54757.298033450614</v>
      </c>
      <c r="J33" s="168">
        <f>K33-I33</f>
        <v>126500.55500000002</v>
      </c>
      <c r="K33" s="168">
        <f>$K$26</f>
        <v>181257.85303345064</v>
      </c>
      <c r="L33" s="169">
        <f>$K$24-I33</f>
        <v>25245353.70196655</v>
      </c>
      <c r="M33" s="170">
        <f>L33*(0.04/12)</f>
        <v>84151.17900655518</v>
      </c>
    </row>
    <row r="34" spans="1:13" ht="15.75" thickBot="1">
      <c r="A34" s="3"/>
      <c r="B34" s="13" t="s">
        <v>32</v>
      </c>
      <c r="C34" s="451">
        <v>55000</v>
      </c>
      <c r="G34" s="171" t="s">
        <v>55</v>
      </c>
      <c r="H34" s="172">
        <v>2</v>
      </c>
      <c r="I34" s="168">
        <f aca="true" t="shared" si="0" ref="I34:I44">PPMT($K$21,H34,$K$23,$K$24)*-1</f>
        <v>55031.08452361787</v>
      </c>
      <c r="J34" s="168">
        <f aca="true" t="shared" si="1" ref="J34:J44">K34-I34</f>
        <v>126226.76850983276</v>
      </c>
      <c r="K34" s="168">
        <f aca="true" t="shared" si="2" ref="K34:K44">$K$26</f>
        <v>181257.85303345064</v>
      </c>
      <c r="L34" s="169">
        <f aca="true" t="shared" si="3" ref="L34:L44">$K$24-I34</f>
        <v>25245079.91547638</v>
      </c>
      <c r="M34" s="170">
        <f aca="true" t="shared" si="4" ref="M34:M44">L34*(0.04/12)</f>
        <v>84150.26638492128</v>
      </c>
    </row>
    <row r="35" spans="1:13" ht="12.75">
      <c r="A35" s="5"/>
      <c r="B35" s="6" t="s">
        <v>33</v>
      </c>
      <c r="C35" s="12"/>
      <c r="G35" s="171" t="s">
        <v>56</v>
      </c>
      <c r="H35" s="172">
        <v>3</v>
      </c>
      <c r="I35" s="168">
        <f t="shared" si="0"/>
        <v>55306.23994623595</v>
      </c>
      <c r="J35" s="168">
        <f t="shared" si="1"/>
        <v>125951.61308721468</v>
      </c>
      <c r="K35" s="168">
        <f t="shared" si="2"/>
        <v>181257.85303345064</v>
      </c>
      <c r="L35" s="169">
        <f t="shared" si="3"/>
        <v>25244804.760053765</v>
      </c>
      <c r="M35" s="170">
        <f t="shared" si="4"/>
        <v>84149.34920017922</v>
      </c>
    </row>
    <row r="36" spans="1:13" ht="12.75">
      <c r="A36" s="5">
        <v>4</v>
      </c>
      <c r="B36" s="10" t="s">
        <v>34</v>
      </c>
      <c r="C36" s="426">
        <f>1000000/C38*365/325851</f>
        <v>4.706486846375035</v>
      </c>
      <c r="G36" s="171" t="s">
        <v>57</v>
      </c>
      <c r="H36" s="172">
        <v>4</v>
      </c>
      <c r="I36" s="168">
        <f t="shared" si="0"/>
        <v>55582.77114596714</v>
      </c>
      <c r="J36" s="168">
        <f t="shared" si="1"/>
        <v>125675.0818874835</v>
      </c>
      <c r="K36" s="168">
        <f t="shared" si="2"/>
        <v>181257.85303345064</v>
      </c>
      <c r="L36" s="169">
        <f t="shared" si="3"/>
        <v>25244528.228854034</v>
      </c>
      <c r="M36" s="170">
        <f t="shared" si="4"/>
        <v>84148.42742951345</v>
      </c>
    </row>
    <row r="37" spans="1:13" ht="12.75">
      <c r="A37" s="5">
        <v>5</v>
      </c>
      <c r="B37" s="10" t="s">
        <v>35</v>
      </c>
      <c r="C37" s="8">
        <f>C38*325861/1000</f>
        <v>77554.918</v>
      </c>
      <c r="G37" s="171" t="s">
        <v>58</v>
      </c>
      <c r="H37" s="172">
        <v>5</v>
      </c>
      <c r="I37" s="168">
        <f t="shared" si="0"/>
        <v>55860.68500169696</v>
      </c>
      <c r="J37" s="168">
        <f t="shared" si="1"/>
        <v>125397.16803175368</v>
      </c>
      <c r="K37" s="168">
        <f t="shared" si="2"/>
        <v>181257.85303345064</v>
      </c>
      <c r="L37" s="169">
        <f t="shared" si="3"/>
        <v>25244250.314998303</v>
      </c>
      <c r="M37" s="170">
        <f t="shared" si="4"/>
        <v>84147.50104999435</v>
      </c>
    </row>
    <row r="38" spans="1:13" ht="13.5" thickBot="1">
      <c r="A38" s="3">
        <v>6</v>
      </c>
      <c r="B38" s="15" t="s">
        <v>36</v>
      </c>
      <c r="C38" s="16">
        <v>238</v>
      </c>
      <c r="G38" s="171" t="s">
        <v>59</v>
      </c>
      <c r="H38" s="172">
        <v>6</v>
      </c>
      <c r="I38" s="168">
        <f t="shared" si="0"/>
        <v>56139.98842670546</v>
      </c>
      <c r="J38" s="168">
        <f t="shared" si="1"/>
        <v>125117.86460674518</v>
      </c>
      <c r="K38" s="168">
        <f t="shared" si="2"/>
        <v>181257.85303345064</v>
      </c>
      <c r="L38" s="169">
        <f t="shared" si="3"/>
        <v>25243971.011573296</v>
      </c>
      <c r="M38" s="170">
        <f t="shared" si="4"/>
        <v>84146.57003857766</v>
      </c>
    </row>
    <row r="39" spans="1:13" ht="12.75">
      <c r="A39" s="5"/>
      <c r="B39" s="6" t="s">
        <v>37</v>
      </c>
      <c r="C39" s="12"/>
      <c r="G39" s="171" t="s">
        <v>60</v>
      </c>
      <c r="H39" s="172">
        <v>7</v>
      </c>
      <c r="I39" s="168">
        <f t="shared" si="0"/>
        <v>56420.68836883898</v>
      </c>
      <c r="J39" s="168">
        <f t="shared" si="1"/>
        <v>124837.16466461166</v>
      </c>
      <c r="K39" s="168">
        <f t="shared" si="2"/>
        <v>181257.85303345064</v>
      </c>
      <c r="L39" s="169">
        <f t="shared" si="3"/>
        <v>25243690.31163116</v>
      </c>
      <c r="M39" s="170">
        <f t="shared" si="4"/>
        <v>84145.63437210387</v>
      </c>
    </row>
    <row r="40" spans="1:13" ht="12.75">
      <c r="A40" s="5">
        <v>6</v>
      </c>
      <c r="B40" s="10" t="s">
        <v>38</v>
      </c>
      <c r="C40" s="99">
        <f>C37/C34</f>
        <v>1.4100894181818182</v>
      </c>
      <c r="G40" s="171" t="s">
        <v>61</v>
      </c>
      <c r="H40" s="172">
        <v>8</v>
      </c>
      <c r="I40" s="168">
        <f t="shared" si="0"/>
        <v>56702.79181068318</v>
      </c>
      <c r="J40" s="168">
        <f t="shared" si="1"/>
        <v>124555.06122276746</v>
      </c>
      <c r="K40" s="168">
        <f t="shared" si="2"/>
        <v>181257.85303345064</v>
      </c>
      <c r="L40" s="169">
        <f t="shared" si="3"/>
        <v>25243408.208189316</v>
      </c>
      <c r="M40" s="170">
        <f t="shared" si="4"/>
        <v>84144.69402729772</v>
      </c>
    </row>
    <row r="41" spans="1:13" ht="12.75">
      <c r="A41" s="5">
        <v>7</v>
      </c>
      <c r="B41" s="10" t="s">
        <v>39</v>
      </c>
      <c r="C41" s="99">
        <f>C34/C38</f>
        <v>231.0924369747899</v>
      </c>
      <c r="G41" s="171" t="s">
        <v>62</v>
      </c>
      <c r="H41" s="172">
        <v>9</v>
      </c>
      <c r="I41" s="168">
        <f t="shared" si="0"/>
        <v>56986.30576973659</v>
      </c>
      <c r="J41" s="168">
        <f t="shared" si="1"/>
        <v>124271.54726371405</v>
      </c>
      <c r="K41" s="168">
        <f t="shared" si="2"/>
        <v>181257.85303345064</v>
      </c>
      <c r="L41" s="169">
        <f t="shared" si="3"/>
        <v>25243124.694230262</v>
      </c>
      <c r="M41" s="170">
        <f t="shared" si="4"/>
        <v>84143.74898076754</v>
      </c>
    </row>
    <row r="42" spans="7:13" ht="12.75">
      <c r="G42" s="171" t="s">
        <v>63</v>
      </c>
      <c r="H42" s="172">
        <v>10</v>
      </c>
      <c r="I42" s="168">
        <f t="shared" si="0"/>
        <v>57271.23729858527</v>
      </c>
      <c r="J42" s="168">
        <f t="shared" si="1"/>
        <v>123986.61573486537</v>
      </c>
      <c r="K42" s="168">
        <f t="shared" si="2"/>
        <v>181257.85303345064</v>
      </c>
      <c r="L42" s="169">
        <f t="shared" si="3"/>
        <v>25242839.762701415</v>
      </c>
      <c r="M42" s="170">
        <f t="shared" si="4"/>
        <v>84142.79920900472</v>
      </c>
    </row>
    <row r="43" spans="7:13" ht="12.75">
      <c r="G43" s="171" t="s">
        <v>64</v>
      </c>
      <c r="H43" s="172">
        <v>11</v>
      </c>
      <c r="I43" s="168">
        <f t="shared" si="0"/>
        <v>57557.5934850782</v>
      </c>
      <c r="J43" s="168">
        <f t="shared" si="1"/>
        <v>123700.25954837244</v>
      </c>
      <c r="K43" s="168">
        <f t="shared" si="2"/>
        <v>181257.85303345064</v>
      </c>
      <c r="L43" s="169">
        <f t="shared" si="3"/>
        <v>25242553.40651492</v>
      </c>
      <c r="M43" s="170">
        <f t="shared" si="4"/>
        <v>84141.84468838308</v>
      </c>
    </row>
    <row r="44" spans="7:13" ht="12.75">
      <c r="G44" s="171" t="s">
        <v>65</v>
      </c>
      <c r="H44" s="172">
        <v>12</v>
      </c>
      <c r="I44" s="168">
        <f t="shared" si="0"/>
        <v>57845.381452503585</v>
      </c>
      <c r="J44" s="168">
        <f t="shared" si="1"/>
        <v>123412.47158094705</v>
      </c>
      <c r="K44" s="168">
        <f t="shared" si="2"/>
        <v>181257.85303345064</v>
      </c>
      <c r="L44" s="169">
        <f t="shared" si="3"/>
        <v>25242265.618547495</v>
      </c>
      <c r="M44" s="170">
        <f t="shared" si="4"/>
        <v>84140.88539515833</v>
      </c>
    </row>
    <row r="45" spans="7:13" ht="12.75">
      <c r="G45" s="146"/>
      <c r="H45" s="148"/>
      <c r="I45" s="148"/>
      <c r="J45" s="148"/>
      <c r="K45" s="148"/>
      <c r="L45" s="148"/>
      <c r="M45" s="173"/>
    </row>
    <row r="46" spans="7:13" ht="13.5" thickBot="1">
      <c r="G46" s="174" t="s">
        <v>66</v>
      </c>
      <c r="H46" s="175"/>
      <c r="I46" s="176">
        <f>SUM(I33:I44)</f>
        <v>675462.0652630999</v>
      </c>
      <c r="J46" s="176">
        <f>SUM(J33:J44)</f>
        <v>1499632.171138308</v>
      </c>
      <c r="K46" s="176">
        <f>SUM(K33:K44)</f>
        <v>2175094.2364014075</v>
      </c>
      <c r="L46" s="176"/>
      <c r="M46" s="177">
        <f>SUM(M33:M44)</f>
        <v>1009752.8997824563</v>
      </c>
    </row>
    <row r="47" spans="7:13" ht="15">
      <c r="G47" s="178"/>
      <c r="H47" s="178"/>
      <c r="I47" s="178"/>
      <c r="J47" s="178"/>
      <c r="K47" s="178"/>
      <c r="L47" s="178"/>
      <c r="M47" s="178"/>
    </row>
    <row r="48" spans="7:13" ht="15">
      <c r="G48" s="179" t="s">
        <v>68</v>
      </c>
      <c r="H48" s="178"/>
      <c r="I48" s="178"/>
      <c r="J48" s="178"/>
      <c r="K48" s="178"/>
      <c r="L48" s="178"/>
      <c r="M48" s="442">
        <f>K24+J46-M46</f>
        <v>25789990.271355852</v>
      </c>
    </row>
  </sheetData>
  <sheetProtection/>
  <mergeCells count="6">
    <mergeCell ref="G31:G32"/>
    <mergeCell ref="H31:H32"/>
    <mergeCell ref="A1:C1"/>
    <mergeCell ref="A15:D15"/>
    <mergeCell ref="A28:C28"/>
    <mergeCell ref="G17:M17"/>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G9" sqref="G9:M40"/>
    </sheetView>
  </sheetViews>
  <sheetFormatPr defaultColWidth="9.140625" defaultRowHeight="12.75"/>
  <cols>
    <col min="1" max="1" width="15.00390625" style="0" customWidth="1"/>
    <col min="2" max="2" width="34.140625" style="0" customWidth="1"/>
    <col min="3" max="3" width="14.7109375" style="0" bestFit="1" customWidth="1"/>
    <col min="7" max="7" width="12.00390625" style="0" customWidth="1"/>
    <col min="8" max="8" width="11.140625" style="0" customWidth="1"/>
    <col min="9" max="9" width="13.421875" style="0" bestFit="1" customWidth="1"/>
    <col min="10" max="10" width="14.7109375" style="0" bestFit="1" customWidth="1"/>
    <col min="11" max="11" width="18.00390625" style="0" bestFit="1" customWidth="1"/>
    <col min="12" max="13" width="15.8515625" style="0" bestFit="1" customWidth="1"/>
  </cols>
  <sheetData>
    <row r="1" spans="1:12" ht="27.75" customHeight="1">
      <c r="A1" s="509" t="s">
        <v>203</v>
      </c>
      <c r="B1" s="510"/>
      <c r="C1" s="510"/>
      <c r="D1" s="334"/>
      <c r="E1" s="334"/>
      <c r="F1" s="334"/>
      <c r="G1" s="334"/>
      <c r="H1" s="334"/>
      <c r="I1" s="334"/>
      <c r="J1" s="334"/>
      <c r="K1" s="334"/>
      <c r="L1" s="334"/>
    </row>
    <row r="2" spans="1:3" ht="15">
      <c r="A2" s="360" t="s">
        <v>40</v>
      </c>
      <c r="B2" s="360"/>
      <c r="C2" s="360"/>
    </row>
    <row r="3" spans="1:3" ht="15.75" thickBot="1">
      <c r="A3" s="361" t="s">
        <v>2</v>
      </c>
      <c r="B3" s="361" t="s">
        <v>3</v>
      </c>
      <c r="C3" s="362" t="s">
        <v>204</v>
      </c>
    </row>
    <row r="4" spans="1:3" ht="15">
      <c r="A4" s="363">
        <v>1</v>
      </c>
      <c r="B4" s="360" t="s">
        <v>205</v>
      </c>
      <c r="C4" s="364">
        <v>950000</v>
      </c>
    </row>
    <row r="5" spans="1:3" ht="15">
      <c r="A5" s="363">
        <v>2</v>
      </c>
      <c r="B5" s="360" t="s">
        <v>206</v>
      </c>
      <c r="C5" s="364">
        <v>101500</v>
      </c>
    </row>
    <row r="6" spans="1:3" ht="15">
      <c r="A6" s="363">
        <v>3</v>
      </c>
      <c r="B6" s="360" t="s">
        <v>207</v>
      </c>
      <c r="C6" s="364">
        <v>340000</v>
      </c>
    </row>
    <row r="7" spans="1:3" ht="15">
      <c r="A7" s="363">
        <v>4</v>
      </c>
      <c r="B7" s="360" t="s">
        <v>208</v>
      </c>
      <c r="C7" s="364">
        <v>4000000</v>
      </c>
    </row>
    <row r="8" spans="1:3" ht="15.75" thickBot="1">
      <c r="A8" s="363">
        <v>5</v>
      </c>
      <c r="B8" s="360" t="s">
        <v>206</v>
      </c>
      <c r="C8" s="364">
        <v>280000</v>
      </c>
    </row>
    <row r="9" spans="1:13" ht="15">
      <c r="A9" s="363">
        <v>6</v>
      </c>
      <c r="B9" s="360" t="s">
        <v>209</v>
      </c>
      <c r="C9" s="364">
        <v>196000</v>
      </c>
      <c r="G9" s="502" t="s">
        <v>41</v>
      </c>
      <c r="H9" s="503"/>
      <c r="I9" s="503"/>
      <c r="J9" s="503"/>
      <c r="K9" s="503"/>
      <c r="L9" s="503"/>
      <c r="M9" s="504"/>
    </row>
    <row r="10" spans="1:13" ht="15">
      <c r="A10" s="363">
        <v>7</v>
      </c>
      <c r="B10" s="360" t="s">
        <v>210</v>
      </c>
      <c r="C10" s="364">
        <v>153000</v>
      </c>
      <c r="G10" s="375"/>
      <c r="H10" s="376"/>
      <c r="I10" s="376"/>
      <c r="J10" s="376"/>
      <c r="K10" s="376"/>
      <c r="L10" s="376"/>
      <c r="M10" s="377"/>
    </row>
    <row r="11" spans="2:13" ht="15.75">
      <c r="B11" s="418" t="s">
        <v>8</v>
      </c>
      <c r="C11" s="353">
        <f>SUM(C4:C10)</f>
        <v>6020500</v>
      </c>
      <c r="G11" s="378"/>
      <c r="H11" s="379" t="s">
        <v>42</v>
      </c>
      <c r="I11" s="380"/>
      <c r="J11" s="380"/>
      <c r="K11" s="380"/>
      <c r="L11" s="380"/>
      <c r="M11" s="381"/>
    </row>
    <row r="12" spans="7:13" ht="15">
      <c r="G12" s="378"/>
      <c r="H12" s="382" t="s">
        <v>21</v>
      </c>
      <c r="I12" s="383"/>
      <c r="J12" s="383"/>
      <c r="K12" s="384">
        <v>0.06</v>
      </c>
      <c r="L12" s="380"/>
      <c r="M12" s="381"/>
    </row>
    <row r="13" spans="7:13" ht="15">
      <c r="G13" s="378"/>
      <c r="H13" s="385" t="s">
        <v>23</v>
      </c>
      <c r="I13" s="380"/>
      <c r="J13" s="380"/>
      <c r="K13" s="386">
        <v>0.005</v>
      </c>
      <c r="L13" s="380"/>
      <c r="M13" s="381"/>
    </row>
    <row r="14" spans="1:13" ht="15.75" thickBot="1">
      <c r="A14" s="365" t="s">
        <v>2</v>
      </c>
      <c r="B14" s="361" t="s">
        <v>3</v>
      </c>
      <c r="C14" s="362" t="s">
        <v>204</v>
      </c>
      <c r="G14" s="378"/>
      <c r="H14" s="385" t="s">
        <v>24</v>
      </c>
      <c r="I14" s="380"/>
      <c r="J14" s="380"/>
      <c r="K14" s="387">
        <v>20</v>
      </c>
      <c r="L14" s="380"/>
      <c r="M14" s="381"/>
    </row>
    <row r="15" spans="1:13" ht="15">
      <c r="A15" s="363">
        <v>1</v>
      </c>
      <c r="B15" s="360" t="s">
        <v>211</v>
      </c>
      <c r="C15" s="364">
        <v>196945</v>
      </c>
      <c r="G15" s="378"/>
      <c r="H15" s="385" t="s">
        <v>26</v>
      </c>
      <c r="I15" s="380"/>
      <c r="J15" s="380"/>
      <c r="K15" s="387">
        <v>240</v>
      </c>
      <c r="L15" s="380"/>
      <c r="M15" s="381"/>
    </row>
    <row r="16" spans="1:13" ht="15">
      <c r="A16" s="363">
        <v>2</v>
      </c>
      <c r="B16" s="360" t="s">
        <v>212</v>
      </c>
      <c r="C16" s="364">
        <v>196945</v>
      </c>
      <c r="G16" s="378"/>
      <c r="H16" s="385" t="s">
        <v>43</v>
      </c>
      <c r="I16" s="380"/>
      <c r="J16" s="380"/>
      <c r="K16" s="388">
        <f>C33</f>
        <v>8718886</v>
      </c>
      <c r="L16" s="380"/>
      <c r="M16" s="381"/>
    </row>
    <row r="17" spans="1:13" ht="15">
      <c r="A17" s="363">
        <v>3</v>
      </c>
      <c r="B17" s="360" t="s">
        <v>40</v>
      </c>
      <c r="C17" s="364">
        <v>56270</v>
      </c>
      <c r="G17" s="378"/>
      <c r="H17" s="385"/>
      <c r="I17" s="380"/>
      <c r="J17" s="380"/>
      <c r="K17" s="389"/>
      <c r="L17" s="380"/>
      <c r="M17" s="381"/>
    </row>
    <row r="18" spans="1:13" ht="15">
      <c r="A18" s="363">
        <v>4</v>
      </c>
      <c r="B18" s="360" t="s">
        <v>213</v>
      </c>
      <c r="C18" s="364">
        <v>67524</v>
      </c>
      <c r="G18" s="378"/>
      <c r="H18" s="385" t="s">
        <v>44</v>
      </c>
      <c r="I18" s="380"/>
      <c r="J18" s="380"/>
      <c r="K18" s="390">
        <f>PMT(K13,K15,K16)*-1</f>
        <v>62464.80725730453</v>
      </c>
      <c r="L18" s="380"/>
      <c r="M18" s="381"/>
    </row>
    <row r="19" spans="1:13" ht="15">
      <c r="A19" s="363">
        <v>5</v>
      </c>
      <c r="B19" s="360" t="s">
        <v>214</v>
      </c>
      <c r="C19" s="364">
        <v>39389</v>
      </c>
      <c r="G19" s="378"/>
      <c r="H19" s="385" t="s">
        <v>45</v>
      </c>
      <c r="I19" s="380"/>
      <c r="J19" s="380"/>
      <c r="K19" s="390">
        <f>K18*12</f>
        <v>749577.6870876544</v>
      </c>
      <c r="L19" s="380"/>
      <c r="M19" s="381"/>
    </row>
    <row r="20" spans="1:13" ht="15">
      <c r="A20" s="363">
        <v>6</v>
      </c>
      <c r="B20" s="360" t="s">
        <v>215</v>
      </c>
      <c r="C20" s="364">
        <v>33762</v>
      </c>
      <c r="G20" s="378"/>
      <c r="H20" s="391" t="s">
        <v>46</v>
      </c>
      <c r="I20" s="392"/>
      <c r="J20" s="392"/>
      <c r="K20" s="393">
        <f>K19*K14</f>
        <v>14991553.741753086</v>
      </c>
      <c r="L20" s="380"/>
      <c r="M20" s="381"/>
    </row>
    <row r="21" spans="1:13" ht="15">
      <c r="A21" s="363">
        <v>7</v>
      </c>
      <c r="B21" s="360" t="s">
        <v>216</v>
      </c>
      <c r="C21" s="364">
        <v>28135</v>
      </c>
      <c r="G21" s="378"/>
      <c r="H21" s="380"/>
      <c r="I21" s="380"/>
      <c r="J21" s="380"/>
      <c r="K21" s="380"/>
      <c r="L21" s="380"/>
      <c r="M21" s="381"/>
    </row>
    <row r="22" spans="1:13" ht="15">
      <c r="A22" s="363">
        <v>8</v>
      </c>
      <c r="B22" s="360" t="s">
        <v>217</v>
      </c>
      <c r="C22" s="364">
        <v>56270</v>
      </c>
      <c r="G22" s="378" t="s">
        <v>47</v>
      </c>
      <c r="H22" s="380"/>
      <c r="I22" s="380"/>
      <c r="J22" s="380"/>
      <c r="K22" s="380"/>
      <c r="L22" s="380"/>
      <c r="M22" s="381"/>
    </row>
    <row r="23" spans="1:13" ht="30">
      <c r="A23" s="363">
        <v>9</v>
      </c>
      <c r="B23" s="360" t="s">
        <v>218</v>
      </c>
      <c r="C23" s="364">
        <v>300000</v>
      </c>
      <c r="G23" s="505" t="s">
        <v>48</v>
      </c>
      <c r="H23" s="507" t="s">
        <v>49</v>
      </c>
      <c r="I23" s="394" t="s">
        <v>50</v>
      </c>
      <c r="J23" s="394" t="s">
        <v>51</v>
      </c>
      <c r="K23" s="394" t="s">
        <v>52</v>
      </c>
      <c r="L23" s="394" t="s">
        <v>53</v>
      </c>
      <c r="M23" s="395" t="s">
        <v>67</v>
      </c>
    </row>
    <row r="24" spans="1:13" ht="15.75" thickBot="1">
      <c r="A24" s="363">
        <v>10</v>
      </c>
      <c r="B24" s="360" t="s">
        <v>149</v>
      </c>
      <c r="C24" s="364">
        <v>747906</v>
      </c>
      <c r="G24" s="506"/>
      <c r="H24" s="508"/>
      <c r="I24" s="396" t="s">
        <v>221</v>
      </c>
      <c r="J24" s="396" t="s">
        <v>222</v>
      </c>
      <c r="K24" s="396" t="s">
        <v>223</v>
      </c>
      <c r="L24" s="396" t="s">
        <v>224</v>
      </c>
      <c r="M24" s="397"/>
    </row>
    <row r="25" spans="1:13" ht="15">
      <c r="A25" s="363">
        <v>11</v>
      </c>
      <c r="B25" s="360" t="s">
        <v>219</v>
      </c>
      <c r="C25" s="364">
        <v>975240</v>
      </c>
      <c r="G25" s="398" t="s">
        <v>54</v>
      </c>
      <c r="H25" s="399">
        <v>1</v>
      </c>
      <c r="I25" s="400">
        <f>PPMT($K$13,H25,$K$15,$K$16)*-1</f>
        <v>18870.377257304524</v>
      </c>
      <c r="J25" s="400">
        <f>K25-I25</f>
        <v>43594.43000000001</v>
      </c>
      <c r="K25" s="400">
        <f>$K$18</f>
        <v>62464.80725730453</v>
      </c>
      <c r="L25" s="401">
        <f>$K$16-I25</f>
        <v>8700015.622742696</v>
      </c>
      <c r="M25" s="402">
        <f>L25*(0.04/12)</f>
        <v>29000.052075808988</v>
      </c>
    </row>
    <row r="26" spans="2:13" ht="15">
      <c r="B26" s="418" t="s">
        <v>220</v>
      </c>
      <c r="C26" s="353">
        <f>SUM(C15:C25)</f>
        <v>2698386</v>
      </c>
      <c r="G26" s="403" t="s">
        <v>55</v>
      </c>
      <c r="H26" s="404">
        <v>2</v>
      </c>
      <c r="I26" s="400">
        <f>PPMT($K$13,H26,$K$15,$K$16)*-1</f>
        <v>18964.729143591052</v>
      </c>
      <c r="J26" s="400">
        <f aca="true" t="shared" si="0" ref="J26:J36">K26-I26</f>
        <v>43500.078113713476</v>
      </c>
      <c r="K26" s="400">
        <f aca="true" t="shared" si="1" ref="K26:K36">$K$18</f>
        <v>62464.80725730453</v>
      </c>
      <c r="L26" s="401">
        <f aca="true" t="shared" si="2" ref="L26:L36">$K$16-I26</f>
        <v>8699921.270856408</v>
      </c>
      <c r="M26" s="402">
        <f aca="true" t="shared" si="3" ref="M26:M36">L26*(0.04/12)</f>
        <v>28999.737569521363</v>
      </c>
    </row>
    <row r="27" spans="7:13" ht="15">
      <c r="G27" s="403" t="s">
        <v>56</v>
      </c>
      <c r="H27" s="404">
        <v>3</v>
      </c>
      <c r="I27" s="400">
        <f aca="true" t="shared" si="4" ref="I27:I36">PPMT($K$13,H27,$K$15,$K$16)*-1</f>
        <v>19059.552789309004</v>
      </c>
      <c r="J27" s="400">
        <f t="shared" si="0"/>
        <v>43405.254467995524</v>
      </c>
      <c r="K27" s="400">
        <f t="shared" si="1"/>
        <v>62464.80725730453</v>
      </c>
      <c r="L27" s="401">
        <f t="shared" si="2"/>
        <v>8699826.447210692</v>
      </c>
      <c r="M27" s="402">
        <f t="shared" si="3"/>
        <v>28999.42149070231</v>
      </c>
    </row>
    <row r="28" spans="7:13" ht="15">
      <c r="G28" s="403" t="s">
        <v>57</v>
      </c>
      <c r="H28" s="404">
        <v>4</v>
      </c>
      <c r="I28" s="400">
        <f t="shared" si="4"/>
        <v>19154.85055325555</v>
      </c>
      <c r="J28" s="400">
        <f t="shared" si="0"/>
        <v>43309.95670404898</v>
      </c>
      <c r="K28" s="400">
        <f t="shared" si="1"/>
        <v>62464.80725730453</v>
      </c>
      <c r="L28" s="401">
        <f t="shared" si="2"/>
        <v>8699731.149446744</v>
      </c>
      <c r="M28" s="402">
        <f t="shared" si="3"/>
        <v>28999.10383148915</v>
      </c>
    </row>
    <row r="29" spans="7:13" ht="15">
      <c r="G29" s="403" t="s">
        <v>58</v>
      </c>
      <c r="H29" s="404">
        <v>5</v>
      </c>
      <c r="I29" s="400">
        <f t="shared" si="4"/>
        <v>19250.624806021824</v>
      </c>
      <c r="J29" s="400">
        <f t="shared" si="0"/>
        <v>43214.1824512827</v>
      </c>
      <c r="K29" s="400">
        <f t="shared" si="1"/>
        <v>62464.80725730453</v>
      </c>
      <c r="L29" s="401">
        <f t="shared" si="2"/>
        <v>8699635.375193978</v>
      </c>
      <c r="M29" s="402">
        <f t="shared" si="3"/>
        <v>28998.784583979927</v>
      </c>
    </row>
    <row r="30" spans="1:13" ht="15.75" thickBot="1">
      <c r="A30" s="365" t="s">
        <v>2</v>
      </c>
      <c r="B30" s="361" t="s">
        <v>3</v>
      </c>
      <c r="C30" s="361" t="s">
        <v>16</v>
      </c>
      <c r="D30" s="361" t="s">
        <v>17</v>
      </c>
      <c r="G30" s="403" t="s">
        <v>59</v>
      </c>
      <c r="H30" s="404">
        <v>6</v>
      </c>
      <c r="I30" s="400">
        <f t="shared" si="4"/>
        <v>19346.877930051938</v>
      </c>
      <c r="J30" s="400">
        <f t="shared" si="0"/>
        <v>43117.92932725259</v>
      </c>
      <c r="K30" s="400">
        <f t="shared" si="1"/>
        <v>62464.80725730453</v>
      </c>
      <c r="L30" s="401">
        <f t="shared" si="2"/>
        <v>8699539.122069947</v>
      </c>
      <c r="M30" s="402">
        <f t="shared" si="3"/>
        <v>28998.46374023316</v>
      </c>
    </row>
    <row r="31" spans="1:13" ht="15">
      <c r="A31" s="366">
        <v>1</v>
      </c>
      <c r="B31" s="367" t="s">
        <v>18</v>
      </c>
      <c r="C31" s="364">
        <f>C11</f>
        <v>6020500</v>
      </c>
      <c r="D31" s="360"/>
      <c r="G31" s="403" t="s">
        <v>60</v>
      </c>
      <c r="H31" s="404">
        <v>7</v>
      </c>
      <c r="I31" s="400">
        <f t="shared" si="4"/>
        <v>19443.612319702195</v>
      </c>
      <c r="J31" s="400">
        <f t="shared" si="0"/>
        <v>43021.19493760233</v>
      </c>
      <c r="K31" s="400">
        <f t="shared" si="1"/>
        <v>62464.80725730453</v>
      </c>
      <c r="L31" s="401">
        <f t="shared" si="2"/>
        <v>8699442.387680298</v>
      </c>
      <c r="M31" s="402">
        <f t="shared" si="3"/>
        <v>28998.14129226766</v>
      </c>
    </row>
    <row r="32" spans="1:13" ht="15">
      <c r="A32" s="366">
        <v>2</v>
      </c>
      <c r="B32" s="367" t="s">
        <v>78</v>
      </c>
      <c r="C32" s="364">
        <f>C26</f>
        <v>2698386</v>
      </c>
      <c r="D32" s="360"/>
      <c r="G32" s="403" t="s">
        <v>61</v>
      </c>
      <c r="H32" s="404">
        <v>8</v>
      </c>
      <c r="I32" s="400">
        <f t="shared" si="4"/>
        <v>19540.830381300708</v>
      </c>
      <c r="J32" s="400">
        <f t="shared" si="0"/>
        <v>42923.97687600382</v>
      </c>
      <c r="K32" s="400">
        <f t="shared" si="1"/>
        <v>62464.80725730453</v>
      </c>
      <c r="L32" s="401">
        <f t="shared" si="2"/>
        <v>8699345.1696187</v>
      </c>
      <c r="M32" s="402">
        <f t="shared" si="3"/>
        <v>28997.817232062334</v>
      </c>
    </row>
    <row r="33" spans="1:13" ht="15">
      <c r="A33" s="366">
        <v>3</v>
      </c>
      <c r="B33" s="367" t="s">
        <v>20</v>
      </c>
      <c r="C33" s="364">
        <f>SUM(C31:C32)</f>
        <v>8718886</v>
      </c>
      <c r="D33" s="360"/>
      <c r="G33" s="403" t="s">
        <v>62</v>
      </c>
      <c r="H33" s="404">
        <v>9</v>
      </c>
      <c r="I33" s="400">
        <f t="shared" si="4"/>
        <v>19638.53453320721</v>
      </c>
      <c r="J33" s="400">
        <f t="shared" si="0"/>
        <v>42826.27272409732</v>
      </c>
      <c r="K33" s="400">
        <f t="shared" si="1"/>
        <v>62464.80725730453</v>
      </c>
      <c r="L33" s="401">
        <f t="shared" si="2"/>
        <v>8699247.465466794</v>
      </c>
      <c r="M33" s="402">
        <f t="shared" si="3"/>
        <v>28997.49155155598</v>
      </c>
    </row>
    <row r="34" spans="1:13" ht="15">
      <c r="A34" s="366">
        <v>4</v>
      </c>
      <c r="B34" s="367" t="s">
        <v>21</v>
      </c>
      <c r="C34" s="368">
        <v>0.06</v>
      </c>
      <c r="D34" s="360"/>
      <c r="G34" s="403" t="s">
        <v>63</v>
      </c>
      <c r="H34" s="404">
        <v>10</v>
      </c>
      <c r="I34" s="400">
        <f t="shared" si="4"/>
        <v>19736.727205873245</v>
      </c>
      <c r="J34" s="400">
        <f t="shared" si="0"/>
        <v>42728.08005143129</v>
      </c>
      <c r="K34" s="400">
        <f t="shared" si="1"/>
        <v>62464.80725730453</v>
      </c>
      <c r="L34" s="401">
        <f t="shared" si="2"/>
        <v>8699149.272794127</v>
      </c>
      <c r="M34" s="402">
        <f t="shared" si="3"/>
        <v>28997.164242647093</v>
      </c>
    </row>
    <row r="35" spans="1:13" ht="15">
      <c r="A35" s="366">
        <v>5</v>
      </c>
      <c r="B35" s="367" t="s">
        <v>23</v>
      </c>
      <c r="C35" s="368">
        <v>0.005</v>
      </c>
      <c r="D35" s="360"/>
      <c r="G35" s="403" t="s">
        <v>64</v>
      </c>
      <c r="H35" s="404">
        <v>11</v>
      </c>
      <c r="I35" s="400">
        <f t="shared" si="4"/>
        <v>19835.410841902612</v>
      </c>
      <c r="J35" s="400">
        <f t="shared" si="0"/>
        <v>42629.39641540192</v>
      </c>
      <c r="K35" s="400">
        <f t="shared" si="1"/>
        <v>62464.80725730453</v>
      </c>
      <c r="L35" s="401">
        <f t="shared" si="2"/>
        <v>8699050.589158097</v>
      </c>
      <c r="M35" s="402">
        <f t="shared" si="3"/>
        <v>28996.83529719366</v>
      </c>
    </row>
    <row r="36" spans="1:13" ht="15">
      <c r="A36" s="366">
        <v>6</v>
      </c>
      <c r="B36" s="367" t="s">
        <v>24</v>
      </c>
      <c r="C36" s="368">
        <v>20</v>
      </c>
      <c r="D36" s="360"/>
      <c r="G36" s="403" t="s">
        <v>65</v>
      </c>
      <c r="H36" s="404">
        <v>12</v>
      </c>
      <c r="I36" s="400">
        <f t="shared" si="4"/>
        <v>19934.587896112123</v>
      </c>
      <c r="J36" s="400">
        <f t="shared" si="0"/>
        <v>42530.2193611924</v>
      </c>
      <c r="K36" s="400">
        <f t="shared" si="1"/>
        <v>62464.80725730453</v>
      </c>
      <c r="L36" s="401">
        <f t="shared" si="2"/>
        <v>8698951.412103888</v>
      </c>
      <c r="M36" s="402">
        <f t="shared" si="3"/>
        <v>28996.504707012962</v>
      </c>
    </row>
    <row r="37" spans="1:13" ht="15">
      <c r="A37" s="366">
        <v>7</v>
      </c>
      <c r="B37" s="367" t="s">
        <v>26</v>
      </c>
      <c r="C37" s="368">
        <v>240</v>
      </c>
      <c r="D37" s="360"/>
      <c r="G37" s="378"/>
      <c r="H37" s="380"/>
      <c r="I37" s="405"/>
      <c r="J37" s="380"/>
      <c r="K37" s="380"/>
      <c r="L37" s="380"/>
      <c r="M37" s="406"/>
    </row>
    <row r="38" spans="1:13" ht="15.75" thickBot="1">
      <c r="A38" s="366">
        <v>8</v>
      </c>
      <c r="B38" s="367" t="s">
        <v>27</v>
      </c>
      <c r="C38" s="364">
        <f>PMT(C35,C37,C33)*-1</f>
        <v>62464.80725730453</v>
      </c>
      <c r="D38" s="360"/>
      <c r="G38" s="407" t="s">
        <v>66</v>
      </c>
      <c r="H38" s="408"/>
      <c r="I38" s="409"/>
      <c r="J38" s="410">
        <f>SUM(J25:J36)</f>
        <v>516800.9714300224</v>
      </c>
      <c r="K38" s="411">
        <f>SUM(K25:K36)</f>
        <v>749577.6870876545</v>
      </c>
      <c r="L38" s="411"/>
      <c r="M38" s="412">
        <f>SUM(M25:M36)</f>
        <v>347979.51761447464</v>
      </c>
    </row>
    <row r="39" spans="1:13" ht="15">
      <c r="A39" s="366">
        <v>9</v>
      </c>
      <c r="B39" s="367" t="s">
        <v>28</v>
      </c>
      <c r="C39" s="364">
        <f>12*C38</f>
        <v>749577.6870876544</v>
      </c>
      <c r="D39" s="360"/>
      <c r="G39" s="413"/>
      <c r="H39" s="413"/>
      <c r="I39" s="413"/>
      <c r="J39" s="413"/>
      <c r="K39" s="413"/>
      <c r="L39" s="413"/>
      <c r="M39" s="413"/>
    </row>
    <row r="40" spans="1:13" ht="15">
      <c r="A40" s="366">
        <v>10</v>
      </c>
      <c r="B40" s="369" t="s">
        <v>29</v>
      </c>
      <c r="C40" s="374">
        <f>M38</f>
        <v>347979.51761447464</v>
      </c>
      <c r="D40" s="360"/>
      <c r="G40" s="414" t="s">
        <v>68</v>
      </c>
      <c r="H40" s="413"/>
      <c r="I40" s="413"/>
      <c r="J40" s="413"/>
      <c r="K40" s="413"/>
      <c r="L40" s="413"/>
      <c r="M40" s="415">
        <f>K16+J38-M38</f>
        <v>8887707.453815548</v>
      </c>
    </row>
    <row r="41" spans="1:4" ht="15">
      <c r="A41" s="360"/>
      <c r="B41" s="360"/>
      <c r="C41" s="360"/>
      <c r="D41" s="360"/>
    </row>
    <row r="42" spans="1:4" ht="15.75" thickBot="1">
      <c r="A42" s="361" t="s">
        <v>3</v>
      </c>
      <c r="B42" s="361" t="s">
        <v>16</v>
      </c>
      <c r="C42" s="360"/>
      <c r="D42" s="360"/>
    </row>
    <row r="43" spans="1:4" ht="15">
      <c r="A43" s="367" t="s">
        <v>31</v>
      </c>
      <c r="B43" s="368"/>
      <c r="C43" s="360"/>
      <c r="D43" s="360"/>
    </row>
    <row r="44" spans="1:4" ht="15">
      <c r="A44" s="369"/>
      <c r="B44" s="370"/>
      <c r="C44" s="360"/>
      <c r="D44" s="360"/>
    </row>
    <row r="45" spans="1:4" ht="15">
      <c r="A45" s="369" t="s">
        <v>190</v>
      </c>
      <c r="B45" s="360"/>
      <c r="C45" s="370">
        <v>10705</v>
      </c>
      <c r="D45" s="360"/>
    </row>
    <row r="46" spans="1:3" ht="15.75" thickBot="1">
      <c r="A46" s="419" t="s">
        <v>32</v>
      </c>
      <c r="B46" s="416"/>
      <c r="C46" s="417">
        <f>SUM(C45:C45)</f>
        <v>10705</v>
      </c>
    </row>
    <row r="47" spans="1:3" ht="15">
      <c r="A47" s="367" t="s">
        <v>33</v>
      </c>
      <c r="B47" s="368"/>
      <c r="C47" s="360"/>
    </row>
    <row r="48" spans="1:3" ht="15">
      <c r="A48" s="369" t="s">
        <v>34</v>
      </c>
      <c r="B48" s="368"/>
      <c r="C48" s="360">
        <v>0.1</v>
      </c>
    </row>
    <row r="49" spans="1:3" ht="15">
      <c r="A49" s="369" t="s">
        <v>35</v>
      </c>
      <c r="B49" s="370"/>
      <c r="C49" s="360">
        <v>34214</v>
      </c>
    </row>
    <row r="50" spans="1:3" ht="15.75" thickBot="1">
      <c r="A50" s="371" t="s">
        <v>36</v>
      </c>
      <c r="B50" s="372"/>
      <c r="C50" s="372">
        <v>105</v>
      </c>
    </row>
    <row r="51" spans="1:3" ht="15">
      <c r="A51" s="367" t="s">
        <v>37</v>
      </c>
      <c r="B51" s="368"/>
      <c r="C51" s="360"/>
    </row>
    <row r="52" spans="1:3" ht="15">
      <c r="A52" s="369" t="s">
        <v>38</v>
      </c>
      <c r="B52" s="373"/>
      <c r="C52" s="374">
        <f>C46/C49</f>
        <v>0.3128836148944876</v>
      </c>
    </row>
    <row r="53" spans="1:3" ht="15">
      <c r="A53" s="369" t="s">
        <v>39</v>
      </c>
      <c r="B53" s="373"/>
      <c r="C53" s="374">
        <f>C46/C50</f>
        <v>101.95238095238095</v>
      </c>
    </row>
  </sheetData>
  <sheetProtection/>
  <mergeCells count="4">
    <mergeCell ref="G9:M9"/>
    <mergeCell ref="G23:G24"/>
    <mergeCell ref="H23:H24"/>
    <mergeCell ref="A1:C1"/>
  </mergeCells>
  <printOptions/>
  <pageMargins left="0.75" right="0.75" top="1" bottom="1" header="0.5" footer="0.5"/>
  <pageSetup fitToHeight="1" fitToWidth="1" horizontalDpi="600" verticalDpi="600" orientation="portrait" scale="89" r:id="rId1"/>
</worksheet>
</file>

<file path=xl/worksheets/sheet16.xml><?xml version="1.0" encoding="utf-8"?>
<worksheet xmlns="http://schemas.openxmlformats.org/spreadsheetml/2006/main" xmlns:r="http://schemas.openxmlformats.org/officeDocument/2006/relationships">
  <dimension ref="A2:L39"/>
  <sheetViews>
    <sheetView zoomScale="70" zoomScaleNormal="70" zoomScalePageLayoutView="0" workbookViewId="0" topLeftCell="A1">
      <selection activeCell="C50" sqref="C50"/>
    </sheetView>
  </sheetViews>
  <sheetFormatPr defaultColWidth="9.140625" defaultRowHeight="12.75"/>
  <cols>
    <col min="1" max="1" width="8.28125" style="0" customWidth="1"/>
    <col min="2" max="2" width="53.421875" style="0" bestFit="1" customWidth="1"/>
    <col min="3" max="3" width="22.28125" style="0" customWidth="1"/>
    <col min="8" max="8" width="14.421875" style="0" bestFit="1" customWidth="1"/>
    <col min="9" max="9" width="13.8515625" style="0" bestFit="1" customWidth="1"/>
    <col min="10" max="10" width="13.28125" style="0" bestFit="1" customWidth="1"/>
    <col min="11" max="11" width="12.8515625" style="0" bestFit="1" customWidth="1"/>
    <col min="12" max="12" width="15.00390625" style="0" bestFit="1" customWidth="1"/>
  </cols>
  <sheetData>
    <row r="2" ht="12.75">
      <c r="A2" t="s">
        <v>249</v>
      </c>
    </row>
    <row r="3" spans="1:3" ht="13.5" thickBot="1">
      <c r="A3" s="511" t="s">
        <v>227</v>
      </c>
      <c r="B3" s="512"/>
      <c r="C3" s="512"/>
    </row>
    <row r="4" spans="1:12" ht="12.75">
      <c r="A4" t="s">
        <v>156</v>
      </c>
      <c r="C4" s="273">
        <v>241221309</v>
      </c>
      <c r="F4" s="473" t="s">
        <v>41</v>
      </c>
      <c r="G4" s="474"/>
      <c r="H4" s="474"/>
      <c r="I4" s="474"/>
      <c r="J4" s="474"/>
      <c r="K4" s="474"/>
      <c r="L4" s="475"/>
    </row>
    <row r="5" spans="2:12" ht="12.75">
      <c r="B5" t="s">
        <v>228</v>
      </c>
      <c r="C5" s="273">
        <v>241221309</v>
      </c>
      <c r="F5" s="232"/>
      <c r="G5" s="233"/>
      <c r="H5" s="233"/>
      <c r="I5" s="233"/>
      <c r="J5" s="233"/>
      <c r="K5" s="233"/>
      <c r="L5" s="234"/>
    </row>
    <row r="6" spans="3:12" ht="12.75">
      <c r="C6" s="273"/>
      <c r="F6" s="236"/>
      <c r="G6" s="237" t="s">
        <v>42</v>
      </c>
      <c r="H6" s="238"/>
      <c r="I6" s="238"/>
      <c r="J6" s="238"/>
      <c r="K6" s="238"/>
      <c r="L6" s="239"/>
    </row>
    <row r="7" spans="3:12" ht="12.75">
      <c r="C7" s="273"/>
      <c r="F7" s="236"/>
      <c r="G7" s="240" t="s">
        <v>21</v>
      </c>
      <c r="H7" s="241"/>
      <c r="I7" s="241"/>
      <c r="J7" s="242">
        <v>0.06</v>
      </c>
      <c r="K7" s="238"/>
      <c r="L7" s="239"/>
    </row>
    <row r="8" spans="1:12" ht="12.75">
      <c r="A8" t="s">
        <v>229</v>
      </c>
      <c r="C8" s="273"/>
      <c r="F8" s="236"/>
      <c r="G8" s="243" t="s">
        <v>23</v>
      </c>
      <c r="H8" s="238"/>
      <c r="I8" s="238"/>
      <c r="J8" s="244">
        <v>0.005</v>
      </c>
      <c r="K8" s="238"/>
      <c r="L8" s="239"/>
    </row>
    <row r="9" spans="1:12" ht="12.75">
      <c r="A9">
        <v>1</v>
      </c>
      <c r="B9" t="s">
        <v>233</v>
      </c>
      <c r="C9" s="273">
        <v>84427458</v>
      </c>
      <c r="F9" s="236"/>
      <c r="G9" s="243" t="s">
        <v>24</v>
      </c>
      <c r="H9" s="238"/>
      <c r="I9" s="238"/>
      <c r="J9" s="245">
        <v>20</v>
      </c>
      <c r="K9" s="238"/>
      <c r="L9" s="239"/>
    </row>
    <row r="10" spans="1:12" ht="12.75">
      <c r="A10">
        <v>2</v>
      </c>
      <c r="B10" t="s">
        <v>230</v>
      </c>
      <c r="C10" s="273">
        <v>12061065</v>
      </c>
      <c r="F10" s="236"/>
      <c r="G10" s="243" t="s">
        <v>26</v>
      </c>
      <c r="H10" s="238"/>
      <c r="I10" s="238"/>
      <c r="J10" s="245">
        <v>240</v>
      </c>
      <c r="K10" s="238"/>
      <c r="L10" s="239"/>
    </row>
    <row r="11" spans="1:12" ht="12.75">
      <c r="A11">
        <v>3</v>
      </c>
      <c r="B11" t="s">
        <v>231</v>
      </c>
      <c r="C11" s="273">
        <v>2412213</v>
      </c>
      <c r="F11" s="236"/>
      <c r="G11" s="243" t="s">
        <v>43</v>
      </c>
      <c r="H11" s="238"/>
      <c r="I11" s="238"/>
      <c r="J11" s="424">
        <f>C17</f>
        <v>340122045</v>
      </c>
      <c r="K11" s="238"/>
      <c r="L11" s="239"/>
    </row>
    <row r="12" spans="2:12" ht="12.75">
      <c r="B12" t="s">
        <v>232</v>
      </c>
      <c r="C12" s="273">
        <f>SUM(C9:C11)</f>
        <v>98900736</v>
      </c>
      <c r="F12" s="236"/>
      <c r="G12" s="243"/>
      <c r="H12" s="238"/>
      <c r="I12" s="238"/>
      <c r="J12" s="247"/>
      <c r="K12" s="238"/>
      <c r="L12" s="239"/>
    </row>
    <row r="13" spans="3:12" ht="12.75">
      <c r="C13" s="273"/>
      <c r="F13" s="236"/>
      <c r="G13" s="243" t="s">
        <v>44</v>
      </c>
      <c r="H13" s="238"/>
      <c r="I13" s="238"/>
      <c r="J13" s="248">
        <f>PMT(J8,J10,J11)*-1</f>
        <v>2436739.96711108</v>
      </c>
      <c r="K13" s="238"/>
      <c r="L13" s="239"/>
    </row>
    <row r="14" spans="1:12" ht="13.5" thickBot="1">
      <c r="A14" s="286" t="s">
        <v>2</v>
      </c>
      <c r="B14" s="287" t="s">
        <v>3</v>
      </c>
      <c r="C14" s="454"/>
      <c r="F14" s="236"/>
      <c r="G14" s="243" t="s">
        <v>45</v>
      </c>
      <c r="H14" s="238"/>
      <c r="I14" s="238"/>
      <c r="J14" s="248">
        <f>J13*12</f>
        <v>29240879.60533296</v>
      </c>
      <c r="K14" s="238"/>
      <c r="L14" s="239"/>
    </row>
    <row r="15" spans="1:12" ht="12.75">
      <c r="A15" s="288">
        <v>1</v>
      </c>
      <c r="B15" s="289" t="s">
        <v>18</v>
      </c>
      <c r="C15" s="425">
        <f>C5</f>
        <v>241221309</v>
      </c>
      <c r="F15" s="236"/>
      <c r="G15" s="249" t="s">
        <v>46</v>
      </c>
      <c r="H15" s="250"/>
      <c r="I15" s="250"/>
      <c r="J15" s="251">
        <f>J14*J9</f>
        <v>584817592.1066592</v>
      </c>
      <c r="K15" s="238"/>
      <c r="L15" s="239"/>
    </row>
    <row r="16" spans="1:12" ht="12.75">
      <c r="A16" s="288">
        <f aca="true" t="shared" si="0" ref="A16:A23">A15+1</f>
        <v>2</v>
      </c>
      <c r="B16" s="289" t="s">
        <v>19</v>
      </c>
      <c r="C16" s="273">
        <f>C12</f>
        <v>98900736</v>
      </c>
      <c r="F16" s="236"/>
      <c r="G16" s="238"/>
      <c r="H16" s="238"/>
      <c r="I16" s="238"/>
      <c r="J16" s="238"/>
      <c r="K16" s="238"/>
      <c r="L16" s="239"/>
    </row>
    <row r="17" spans="1:12" ht="12.75">
      <c r="A17" s="288">
        <f t="shared" si="0"/>
        <v>3</v>
      </c>
      <c r="B17" s="289" t="s">
        <v>20</v>
      </c>
      <c r="C17" s="273">
        <f>SUM(C15:C16)</f>
        <v>340122045</v>
      </c>
      <c r="F17" s="236" t="s">
        <v>47</v>
      </c>
      <c r="G17" s="238"/>
      <c r="H17" s="238"/>
      <c r="I17" s="238"/>
      <c r="J17" s="238"/>
      <c r="K17" s="238"/>
      <c r="L17" s="239"/>
    </row>
    <row r="18" spans="1:12" ht="24">
      <c r="A18" s="288">
        <f t="shared" si="0"/>
        <v>4</v>
      </c>
      <c r="B18" s="289" t="s">
        <v>21</v>
      </c>
      <c r="C18" s="273">
        <v>0.06</v>
      </c>
      <c r="F18" s="476" t="s">
        <v>48</v>
      </c>
      <c r="G18" s="478" t="s">
        <v>49</v>
      </c>
      <c r="H18" s="252" t="s">
        <v>50</v>
      </c>
      <c r="I18" s="252" t="s">
        <v>51</v>
      </c>
      <c r="J18" s="252" t="s">
        <v>52</v>
      </c>
      <c r="K18" s="252" t="s">
        <v>53</v>
      </c>
      <c r="L18" s="253" t="s">
        <v>67</v>
      </c>
    </row>
    <row r="19" spans="1:12" ht="14.25" thickBot="1">
      <c r="A19" s="288">
        <f t="shared" si="0"/>
        <v>5</v>
      </c>
      <c r="B19" s="289" t="s">
        <v>23</v>
      </c>
      <c r="C19" s="273">
        <f>C18/12</f>
        <v>0.005</v>
      </c>
      <c r="F19" s="477"/>
      <c r="G19" s="479"/>
      <c r="H19" s="229" t="s">
        <v>69</v>
      </c>
      <c r="I19" s="229" t="s">
        <v>70</v>
      </c>
      <c r="J19" s="229" t="s">
        <v>71</v>
      </c>
      <c r="K19" s="229" t="s">
        <v>72</v>
      </c>
      <c r="L19" s="254"/>
    </row>
    <row r="20" spans="1:12" ht="12.75">
      <c r="A20" s="288">
        <f t="shared" si="0"/>
        <v>6</v>
      </c>
      <c r="B20" s="289" t="s">
        <v>24</v>
      </c>
      <c r="C20" s="273">
        <v>20</v>
      </c>
      <c r="F20" s="255" t="s">
        <v>54</v>
      </c>
      <c r="G20" s="256">
        <v>1</v>
      </c>
      <c r="H20" s="257">
        <f>PPMT($J$8,G20,$J$10,$J$11)*-1</f>
        <v>736129.74211108</v>
      </c>
      <c r="I20" s="257">
        <f>J20-H20</f>
        <v>1700610.225</v>
      </c>
      <c r="J20" s="282">
        <f>$J$13</f>
        <v>2436739.96711108</v>
      </c>
      <c r="K20" s="257">
        <f>$J$13-H20</f>
        <v>1700610.225</v>
      </c>
      <c r="L20" s="259">
        <f>K20*(0.04/12)</f>
        <v>5668.700750000001</v>
      </c>
    </row>
    <row r="21" spans="1:12" ht="12.75">
      <c r="A21" s="288">
        <f t="shared" si="0"/>
        <v>7</v>
      </c>
      <c r="B21" s="289" t="s">
        <v>26</v>
      </c>
      <c r="C21" s="273">
        <v>240</v>
      </c>
      <c r="F21" s="260" t="s">
        <v>55</v>
      </c>
      <c r="G21" s="261">
        <v>2</v>
      </c>
      <c r="H21" s="257">
        <f aca="true" t="shared" si="1" ref="H21:H31">PPMT($J$8,G21,$J$10,$J$11)*-1</f>
        <v>739810.3908216356</v>
      </c>
      <c r="I21" s="257">
        <f aca="true" t="shared" si="2" ref="I21:I31">J21-H21</f>
        <v>1696929.5762894442</v>
      </c>
      <c r="J21" s="282">
        <f aca="true" t="shared" si="3" ref="J21:J31">$J$13</f>
        <v>2436739.96711108</v>
      </c>
      <c r="K21" s="257">
        <f aca="true" t="shared" si="4" ref="K21:K31">$J$13-H21</f>
        <v>1696929.5762894442</v>
      </c>
      <c r="L21" s="259">
        <f aca="true" t="shared" si="5" ref="L21:L31">K21*(0.04/12)</f>
        <v>5656.431920964815</v>
      </c>
    </row>
    <row r="22" spans="1:12" ht="12.75">
      <c r="A22" s="288">
        <f t="shared" si="0"/>
        <v>8</v>
      </c>
      <c r="B22" s="289" t="s">
        <v>27</v>
      </c>
      <c r="C22" s="273">
        <f>PMT(C19,C21,C17)*-1</f>
        <v>2436739.96711108</v>
      </c>
      <c r="F22" s="260" t="s">
        <v>56</v>
      </c>
      <c r="G22" s="261">
        <v>3</v>
      </c>
      <c r="H22" s="257">
        <f t="shared" si="1"/>
        <v>743509.4427757437</v>
      </c>
      <c r="I22" s="257">
        <f t="shared" si="2"/>
        <v>1693230.5243353364</v>
      </c>
      <c r="J22" s="282">
        <f t="shared" si="3"/>
        <v>2436739.96711108</v>
      </c>
      <c r="K22" s="257">
        <f t="shared" si="4"/>
        <v>1693230.5243353364</v>
      </c>
      <c r="L22" s="259">
        <f t="shared" si="5"/>
        <v>5644.101747784455</v>
      </c>
    </row>
    <row r="23" spans="1:12" ht="12.75">
      <c r="A23" s="288">
        <f t="shared" si="0"/>
        <v>9</v>
      </c>
      <c r="B23" s="289" t="s">
        <v>28</v>
      </c>
      <c r="C23" s="273">
        <f>12*C22</f>
        <v>29240879.60533296</v>
      </c>
      <c r="F23" s="260" t="s">
        <v>57</v>
      </c>
      <c r="G23" s="261">
        <v>4</v>
      </c>
      <c r="H23" s="257">
        <f t="shared" si="1"/>
        <v>747226.9899896224</v>
      </c>
      <c r="I23" s="257">
        <f t="shared" si="2"/>
        <v>1689512.9771214575</v>
      </c>
      <c r="J23" s="282">
        <f t="shared" si="3"/>
        <v>2436739.96711108</v>
      </c>
      <c r="K23" s="257">
        <f t="shared" si="4"/>
        <v>1689512.9771214575</v>
      </c>
      <c r="L23" s="259">
        <f t="shared" si="5"/>
        <v>5631.709923738192</v>
      </c>
    </row>
    <row r="24" spans="1:12" ht="12.75">
      <c r="A24" s="288">
        <v>10</v>
      </c>
      <c r="B24" s="290" t="s">
        <v>29</v>
      </c>
      <c r="C24" s="273">
        <f>L33</f>
        <v>67201.01752325002</v>
      </c>
      <c r="F24" s="260" t="s">
        <v>58</v>
      </c>
      <c r="G24" s="261">
        <v>5</v>
      </c>
      <c r="H24" s="257">
        <f t="shared" si="1"/>
        <v>750963.1249395704</v>
      </c>
      <c r="I24" s="257">
        <f t="shared" si="2"/>
        <v>1685776.8421715095</v>
      </c>
      <c r="J24" s="282">
        <f t="shared" si="3"/>
        <v>2436739.96711108</v>
      </c>
      <c r="K24" s="257">
        <f t="shared" si="4"/>
        <v>1685776.8421715095</v>
      </c>
      <c r="L24" s="259">
        <f t="shared" si="5"/>
        <v>5619.256140571699</v>
      </c>
    </row>
    <row r="25" spans="3:12" ht="12.75">
      <c r="C25" s="273"/>
      <c r="F25" s="260" t="s">
        <v>59</v>
      </c>
      <c r="G25" s="261">
        <v>6</v>
      </c>
      <c r="H25" s="257">
        <f t="shared" si="1"/>
        <v>754717.9405642684</v>
      </c>
      <c r="I25" s="257">
        <f t="shared" si="2"/>
        <v>1682022.0265468117</v>
      </c>
      <c r="J25" s="282">
        <f t="shared" si="3"/>
        <v>2436739.96711108</v>
      </c>
      <c r="K25" s="257">
        <f t="shared" si="4"/>
        <v>1682022.0265468117</v>
      </c>
      <c r="L25" s="259">
        <f t="shared" si="5"/>
        <v>5606.740088489372</v>
      </c>
    </row>
    <row r="26" spans="1:12" ht="15.75" thickBot="1">
      <c r="A26" s="186" t="s">
        <v>2</v>
      </c>
      <c r="B26" s="181" t="s">
        <v>3</v>
      </c>
      <c r="C26" s="455" t="s">
        <v>16</v>
      </c>
      <c r="F26" s="260" t="s">
        <v>60</v>
      </c>
      <c r="G26" s="261">
        <v>7</v>
      </c>
      <c r="H26" s="257">
        <f t="shared" si="1"/>
        <v>758491.5302670896</v>
      </c>
      <c r="I26" s="257">
        <f t="shared" si="2"/>
        <v>1678248.4368439903</v>
      </c>
      <c r="J26" s="282">
        <f t="shared" si="3"/>
        <v>2436739.96711108</v>
      </c>
      <c r="K26" s="257">
        <f t="shared" si="4"/>
        <v>1678248.4368439903</v>
      </c>
      <c r="L26" s="259">
        <f t="shared" si="5"/>
        <v>5594.161456146635</v>
      </c>
    </row>
    <row r="27" spans="1:12" ht="15">
      <c r="A27" s="182"/>
      <c r="B27" s="183" t="s">
        <v>31</v>
      </c>
      <c r="C27" s="428"/>
      <c r="F27" s="260" t="s">
        <v>61</v>
      </c>
      <c r="G27" s="261">
        <v>8</v>
      </c>
      <c r="H27" s="257">
        <f t="shared" si="1"/>
        <v>762283.9879184252</v>
      </c>
      <c r="I27" s="257">
        <f t="shared" si="2"/>
        <v>1674455.9791926546</v>
      </c>
      <c r="J27" s="282">
        <f t="shared" si="3"/>
        <v>2436739.96711108</v>
      </c>
      <c r="K27" s="257">
        <f t="shared" si="4"/>
        <v>1674455.9791926546</v>
      </c>
      <c r="L27" s="259">
        <f t="shared" si="5"/>
        <v>5581.519930642183</v>
      </c>
    </row>
    <row r="28" spans="3:12" ht="12.75">
      <c r="C28" s="273"/>
      <c r="F28" s="260" t="s">
        <v>62</v>
      </c>
      <c r="G28" s="261">
        <v>9</v>
      </c>
      <c r="H28" s="257">
        <f t="shared" si="1"/>
        <v>766095.4078580172</v>
      </c>
      <c r="I28" s="257">
        <f t="shared" si="2"/>
        <v>1670644.5592530626</v>
      </c>
      <c r="J28" s="282">
        <f t="shared" si="3"/>
        <v>2436739.96711108</v>
      </c>
      <c r="K28" s="257">
        <f t="shared" si="4"/>
        <v>1670644.5592530626</v>
      </c>
      <c r="L28" s="259">
        <f t="shared" si="5"/>
        <v>5568.815197510209</v>
      </c>
    </row>
    <row r="29" spans="2:12" ht="12.75">
      <c r="B29" t="s">
        <v>234</v>
      </c>
      <c r="C29" s="273">
        <v>39776678</v>
      </c>
      <c r="F29" s="260" t="s">
        <v>63</v>
      </c>
      <c r="G29" s="261">
        <v>10</v>
      </c>
      <c r="H29" s="257">
        <f t="shared" si="1"/>
        <v>769925.8848973071</v>
      </c>
      <c r="I29" s="257">
        <f t="shared" si="2"/>
        <v>1666814.082213773</v>
      </c>
      <c r="J29" s="282">
        <f t="shared" si="3"/>
        <v>2436739.96711108</v>
      </c>
      <c r="K29" s="257">
        <f t="shared" si="4"/>
        <v>1666814.082213773</v>
      </c>
      <c r="L29" s="259">
        <f t="shared" si="5"/>
        <v>5556.0469407125765</v>
      </c>
    </row>
    <row r="30" spans="3:12" ht="12.75">
      <c r="C30" s="273"/>
      <c r="F30" s="260" t="s">
        <v>64</v>
      </c>
      <c r="G30" s="261">
        <v>11</v>
      </c>
      <c r="H30" s="257">
        <f t="shared" si="1"/>
        <v>773775.5143217938</v>
      </c>
      <c r="I30" s="257">
        <f t="shared" si="2"/>
        <v>1662964.4527892862</v>
      </c>
      <c r="J30" s="282">
        <f t="shared" si="3"/>
        <v>2436739.96711108</v>
      </c>
      <c r="K30" s="257">
        <f t="shared" si="4"/>
        <v>1662964.4527892862</v>
      </c>
      <c r="L30" s="259">
        <f t="shared" si="5"/>
        <v>5543.214842630954</v>
      </c>
    </row>
    <row r="31" spans="2:12" ht="12.75">
      <c r="B31" t="s">
        <v>32</v>
      </c>
      <c r="C31" s="273">
        <f>C29</f>
        <v>39776678</v>
      </c>
      <c r="F31" s="260" t="s">
        <v>65</v>
      </c>
      <c r="G31" s="261">
        <v>12</v>
      </c>
      <c r="H31" s="257">
        <f t="shared" si="1"/>
        <v>777644.3918934027</v>
      </c>
      <c r="I31" s="257">
        <f t="shared" si="2"/>
        <v>1659095.5752176773</v>
      </c>
      <c r="J31" s="282">
        <f t="shared" si="3"/>
        <v>2436739.96711108</v>
      </c>
      <c r="K31" s="257">
        <f t="shared" si="4"/>
        <v>1659095.5752176773</v>
      </c>
      <c r="L31" s="259">
        <f t="shared" si="5"/>
        <v>5530.318584058925</v>
      </c>
    </row>
    <row r="32" spans="1:12" ht="15.75" thickBot="1">
      <c r="A32" s="181"/>
      <c r="B32" s="191"/>
      <c r="C32" s="191"/>
      <c r="F32" s="236"/>
      <c r="G32" s="238"/>
      <c r="H32" s="238"/>
      <c r="I32" s="238"/>
      <c r="J32" s="238"/>
      <c r="K32" s="238"/>
      <c r="L32" s="262"/>
    </row>
    <row r="33" spans="1:12" ht="15.75" thickBot="1">
      <c r="A33" s="182"/>
      <c r="B33" s="183" t="s">
        <v>33</v>
      </c>
      <c r="F33" s="263" t="s">
        <v>66</v>
      </c>
      <c r="G33" s="235"/>
      <c r="H33" s="264">
        <f>SUM(H20:H31)</f>
        <v>9080574.348357957</v>
      </c>
      <c r="I33" s="264">
        <f>SUM(I20:I31)</f>
        <v>20160305.25697501</v>
      </c>
      <c r="J33" s="283">
        <f>SUM(J20:J31)</f>
        <v>29240879.605332967</v>
      </c>
      <c r="K33" s="264"/>
      <c r="L33" s="265">
        <f>SUM(L20:L31)</f>
        <v>67201.01752325002</v>
      </c>
    </row>
    <row r="34" spans="1:12" ht="15">
      <c r="A34" s="182">
        <v>4</v>
      </c>
      <c r="B34" s="188" t="s">
        <v>34</v>
      </c>
      <c r="C34">
        <v>195</v>
      </c>
      <c r="F34" s="228"/>
      <c r="G34" s="228"/>
      <c r="H34" s="228"/>
      <c r="I34" s="228"/>
      <c r="J34" s="228"/>
      <c r="K34" s="228"/>
      <c r="L34" s="228"/>
    </row>
    <row r="35" spans="1:12" ht="15">
      <c r="A35" s="182">
        <v>5</v>
      </c>
      <c r="B35" s="188" t="s">
        <v>35</v>
      </c>
      <c r="C35">
        <v>71290659</v>
      </c>
      <c r="F35" s="266" t="s">
        <v>68</v>
      </c>
      <c r="G35" s="228"/>
      <c r="H35" s="228"/>
      <c r="I35" s="228"/>
      <c r="J35" s="228"/>
      <c r="K35" s="228"/>
      <c r="L35" s="456">
        <f>J11+I33-L33</f>
        <v>360215149.23945177</v>
      </c>
    </row>
    <row r="36" spans="1:3" ht="15.75" thickBot="1">
      <c r="A36" s="181">
        <v>6</v>
      </c>
      <c r="B36" s="191" t="s">
        <v>36</v>
      </c>
      <c r="C36" s="423">
        <v>219228</v>
      </c>
    </row>
    <row r="37" spans="1:8" ht="15">
      <c r="A37" s="182"/>
      <c r="B37" s="183" t="s">
        <v>37</v>
      </c>
      <c r="H37" s="330"/>
    </row>
    <row r="38" spans="1:3" ht="15">
      <c r="A38" s="182">
        <v>6</v>
      </c>
      <c r="B38" s="188" t="s">
        <v>38</v>
      </c>
      <c r="C38" s="359">
        <f>C31/C35</f>
        <v>0.557950768837752</v>
      </c>
    </row>
    <row r="39" spans="1:3" ht="15">
      <c r="A39" s="182">
        <v>7</v>
      </c>
      <c r="B39" s="188" t="s">
        <v>39</v>
      </c>
      <c r="C39" s="359">
        <f>C31/C36</f>
        <v>181.43977046727608</v>
      </c>
    </row>
  </sheetData>
  <sheetProtection/>
  <mergeCells count="4">
    <mergeCell ref="A3:C3"/>
    <mergeCell ref="F4:L4"/>
    <mergeCell ref="F18:F19"/>
    <mergeCell ref="G18:G19"/>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L38"/>
  <sheetViews>
    <sheetView zoomScalePageLayoutView="0" workbookViewId="0" topLeftCell="A1">
      <selection activeCell="F3" sqref="F3:L34"/>
    </sheetView>
  </sheetViews>
  <sheetFormatPr defaultColWidth="9.140625" defaultRowHeight="12.75"/>
  <cols>
    <col min="2" max="2" width="53.421875" style="0" bestFit="1" customWidth="1"/>
    <col min="3" max="3" width="12.00390625" style="0" bestFit="1" customWidth="1"/>
    <col min="7" max="7" width="15.7109375" style="0" customWidth="1"/>
    <col min="8" max="8" width="10.140625" style="0" bestFit="1" customWidth="1"/>
    <col min="9" max="10" width="13.28125" style="0" bestFit="1" customWidth="1"/>
    <col min="11" max="11" width="12.28125" style="0" bestFit="1" customWidth="1"/>
    <col min="12" max="12" width="14.00390625" style="0" bestFit="1" customWidth="1"/>
  </cols>
  <sheetData>
    <row r="1" ht="12.75">
      <c r="A1" t="s">
        <v>248</v>
      </c>
    </row>
    <row r="2" spans="1:3" ht="13.5" thickBot="1">
      <c r="A2" s="511" t="s">
        <v>227</v>
      </c>
      <c r="B2" s="512"/>
      <c r="C2" s="512"/>
    </row>
    <row r="3" spans="1:12" ht="12.75">
      <c r="A3" t="s">
        <v>156</v>
      </c>
      <c r="C3" s="273">
        <v>20020648</v>
      </c>
      <c r="F3" s="473" t="s">
        <v>41</v>
      </c>
      <c r="G3" s="474"/>
      <c r="H3" s="474"/>
      <c r="I3" s="474"/>
      <c r="J3" s="474"/>
      <c r="K3" s="474"/>
      <c r="L3" s="475"/>
    </row>
    <row r="4" spans="2:12" ht="12.75">
      <c r="B4" t="s">
        <v>228</v>
      </c>
      <c r="C4" s="273">
        <v>20020648</v>
      </c>
      <c r="F4" s="232"/>
      <c r="G4" s="233"/>
      <c r="H4" s="233"/>
      <c r="I4" s="233"/>
      <c r="J4" s="233"/>
      <c r="K4" s="233"/>
      <c r="L4" s="234"/>
    </row>
    <row r="5" spans="3:12" ht="12.75">
      <c r="C5" s="273"/>
      <c r="F5" s="236"/>
      <c r="G5" s="237" t="s">
        <v>42</v>
      </c>
      <c r="H5" s="238"/>
      <c r="I5" s="238"/>
      <c r="J5" s="238"/>
      <c r="K5" s="238"/>
      <c r="L5" s="239"/>
    </row>
    <row r="6" spans="3:12" ht="12.75">
      <c r="C6" s="273"/>
      <c r="F6" s="236"/>
      <c r="G6" s="240" t="s">
        <v>21</v>
      </c>
      <c r="H6" s="241"/>
      <c r="I6" s="241"/>
      <c r="J6" s="242">
        <v>0.06</v>
      </c>
      <c r="K6" s="238"/>
      <c r="L6" s="239"/>
    </row>
    <row r="7" spans="1:12" ht="12.75">
      <c r="A7" t="s">
        <v>229</v>
      </c>
      <c r="C7" s="273"/>
      <c r="F7" s="236"/>
      <c r="G7" s="243" t="s">
        <v>23</v>
      </c>
      <c r="H7" s="238"/>
      <c r="I7" s="238"/>
      <c r="J7" s="244">
        <v>0.005</v>
      </c>
      <c r="K7" s="238"/>
      <c r="L7" s="239"/>
    </row>
    <row r="8" spans="1:12" ht="12.75">
      <c r="A8">
        <v>1</v>
      </c>
      <c r="B8" t="s">
        <v>233</v>
      </c>
      <c r="C8" s="273">
        <v>7007227</v>
      </c>
      <c r="F8" s="236"/>
      <c r="G8" s="243" t="s">
        <v>24</v>
      </c>
      <c r="H8" s="238"/>
      <c r="I8" s="238"/>
      <c r="J8" s="245">
        <v>20</v>
      </c>
      <c r="K8" s="238"/>
      <c r="L8" s="239"/>
    </row>
    <row r="9" spans="1:12" ht="12.75">
      <c r="A9">
        <v>2</v>
      </c>
      <c r="B9" t="s">
        <v>230</v>
      </c>
      <c r="C9" s="273">
        <v>1991932</v>
      </c>
      <c r="F9" s="236"/>
      <c r="G9" s="243" t="s">
        <v>26</v>
      </c>
      <c r="H9" s="238"/>
      <c r="I9" s="238"/>
      <c r="J9" s="245">
        <v>240</v>
      </c>
      <c r="K9" s="238"/>
      <c r="L9" s="239"/>
    </row>
    <row r="10" spans="1:12" ht="12.75">
      <c r="A10">
        <v>3</v>
      </c>
      <c r="B10" t="s">
        <v>231</v>
      </c>
      <c r="C10" s="273">
        <v>200206</v>
      </c>
      <c r="F10" s="236"/>
      <c r="G10" s="243" t="s">
        <v>43</v>
      </c>
      <c r="H10" s="238"/>
      <c r="I10" s="238"/>
      <c r="J10" s="246">
        <f>C16</f>
        <v>29220013</v>
      </c>
      <c r="K10" s="238"/>
      <c r="L10" s="239"/>
    </row>
    <row r="11" spans="2:12" ht="12.75">
      <c r="B11" t="s">
        <v>232</v>
      </c>
      <c r="C11" s="273">
        <f>SUM(C8:C10)</f>
        <v>9199365</v>
      </c>
      <c r="F11" s="236"/>
      <c r="G11" s="243"/>
      <c r="H11" s="238"/>
      <c r="I11" s="238"/>
      <c r="J11" s="247"/>
      <c r="K11" s="238"/>
      <c r="L11" s="239"/>
    </row>
    <row r="12" spans="6:12" ht="12.75">
      <c r="F12" s="236"/>
      <c r="G12" s="243" t="s">
        <v>44</v>
      </c>
      <c r="H12" s="238"/>
      <c r="I12" s="238"/>
      <c r="J12" s="248">
        <f>PMT(J7,J9,J10)*-1</f>
        <v>209341.24842335735</v>
      </c>
      <c r="K12" s="238"/>
      <c r="L12" s="239"/>
    </row>
    <row r="13" spans="1:12" ht="13.5" thickBot="1">
      <c r="A13" s="286" t="s">
        <v>2</v>
      </c>
      <c r="B13" s="287" t="s">
        <v>3</v>
      </c>
      <c r="C13" s="287"/>
      <c r="F13" s="236"/>
      <c r="G13" s="243" t="s">
        <v>45</v>
      </c>
      <c r="H13" s="238"/>
      <c r="I13" s="238"/>
      <c r="J13" s="248">
        <f>J12*12</f>
        <v>2512094.981080288</v>
      </c>
      <c r="K13" s="238"/>
      <c r="L13" s="239"/>
    </row>
    <row r="14" spans="1:12" ht="12.75">
      <c r="A14" s="288">
        <v>1</v>
      </c>
      <c r="B14" s="289" t="s">
        <v>18</v>
      </c>
      <c r="C14" s="425">
        <f>C4</f>
        <v>20020648</v>
      </c>
      <c r="F14" s="236"/>
      <c r="G14" s="249" t="s">
        <v>46</v>
      </c>
      <c r="H14" s="250"/>
      <c r="I14" s="250"/>
      <c r="J14" s="251">
        <f>J13*J8</f>
        <v>50241899.62160576</v>
      </c>
      <c r="K14" s="238"/>
      <c r="L14" s="239"/>
    </row>
    <row r="15" spans="1:12" ht="12.75">
      <c r="A15" s="288">
        <f aca="true" t="shared" si="0" ref="A15:A22">A14+1</f>
        <v>2</v>
      </c>
      <c r="B15" s="289" t="s">
        <v>19</v>
      </c>
      <c r="C15" s="273">
        <f>C11</f>
        <v>9199365</v>
      </c>
      <c r="F15" s="236"/>
      <c r="G15" s="238"/>
      <c r="H15" s="238"/>
      <c r="I15" s="238"/>
      <c r="J15" s="238"/>
      <c r="K15" s="238"/>
      <c r="L15" s="239"/>
    </row>
    <row r="16" spans="1:12" ht="12.75">
      <c r="A16" s="288">
        <f t="shared" si="0"/>
        <v>3</v>
      </c>
      <c r="B16" s="289" t="s">
        <v>20</v>
      </c>
      <c r="C16" s="273">
        <f>SUM(C14:C15)</f>
        <v>29220013</v>
      </c>
      <c r="F16" s="236" t="s">
        <v>47</v>
      </c>
      <c r="G16" s="238"/>
      <c r="H16" s="238"/>
      <c r="I16" s="238"/>
      <c r="J16" s="238"/>
      <c r="K16" s="238"/>
      <c r="L16" s="239"/>
    </row>
    <row r="17" spans="1:12" ht="24">
      <c r="A17" s="288">
        <f t="shared" si="0"/>
        <v>4</v>
      </c>
      <c r="B17" s="289" t="s">
        <v>21</v>
      </c>
      <c r="C17">
        <v>0.06</v>
      </c>
      <c r="F17" s="476" t="s">
        <v>48</v>
      </c>
      <c r="G17" s="478" t="s">
        <v>49</v>
      </c>
      <c r="H17" s="252" t="s">
        <v>50</v>
      </c>
      <c r="I17" s="252" t="s">
        <v>51</v>
      </c>
      <c r="J17" s="252" t="s">
        <v>52</v>
      </c>
      <c r="K17" s="252" t="s">
        <v>53</v>
      </c>
      <c r="L17" s="253" t="s">
        <v>67</v>
      </c>
    </row>
    <row r="18" spans="1:12" ht="14.25" thickBot="1">
      <c r="A18" s="288">
        <f t="shared" si="0"/>
        <v>5</v>
      </c>
      <c r="B18" s="289" t="s">
        <v>23</v>
      </c>
      <c r="C18">
        <f>C17/12</f>
        <v>0.005</v>
      </c>
      <c r="F18" s="477"/>
      <c r="G18" s="479"/>
      <c r="H18" s="229" t="s">
        <v>69</v>
      </c>
      <c r="I18" s="229" t="s">
        <v>70</v>
      </c>
      <c r="J18" s="229" t="s">
        <v>71</v>
      </c>
      <c r="K18" s="229" t="s">
        <v>72</v>
      </c>
      <c r="L18" s="254"/>
    </row>
    <row r="19" spans="1:12" ht="12.75">
      <c r="A19" s="288">
        <f t="shared" si="0"/>
        <v>6</v>
      </c>
      <c r="B19" s="289" t="s">
        <v>24</v>
      </c>
      <c r="C19">
        <v>20</v>
      </c>
      <c r="F19" s="255" t="s">
        <v>54</v>
      </c>
      <c r="G19" s="256">
        <v>1</v>
      </c>
      <c r="H19" s="257">
        <f>PPMT($J$7,G19,$J$9,$J$10)*-1</f>
        <v>63241.18342335735</v>
      </c>
      <c r="I19" s="257">
        <f>J19-H19</f>
        <v>146100.065</v>
      </c>
      <c r="J19" s="282">
        <f>$J$12</f>
        <v>209341.24842335735</v>
      </c>
      <c r="K19" s="257">
        <f>$J$12-H19</f>
        <v>146100.065</v>
      </c>
      <c r="L19" s="259">
        <f>K19*(0.04/12)</f>
        <v>487.0002166666667</v>
      </c>
    </row>
    <row r="20" spans="1:12" ht="12.75">
      <c r="A20" s="288">
        <f t="shared" si="0"/>
        <v>7</v>
      </c>
      <c r="B20" s="289" t="s">
        <v>26</v>
      </c>
      <c r="C20">
        <v>240</v>
      </c>
      <c r="F20" s="260" t="s">
        <v>55</v>
      </c>
      <c r="G20" s="261">
        <v>2</v>
      </c>
      <c r="H20" s="257">
        <f aca="true" t="shared" si="1" ref="H20:H30">PPMT($J$7,G20,$J$9,$J$10)*-1</f>
        <v>63557.389340474154</v>
      </c>
      <c r="I20" s="257">
        <f aca="true" t="shared" si="2" ref="I20:I30">J20-H20</f>
        <v>145783.8590828832</v>
      </c>
      <c r="J20" s="282">
        <f aca="true" t="shared" si="3" ref="J20:J30">$J$12</f>
        <v>209341.24842335735</v>
      </c>
      <c r="K20" s="257">
        <f aca="true" t="shared" si="4" ref="K20:K30">$J$12-H20</f>
        <v>145783.8590828832</v>
      </c>
      <c r="L20" s="259">
        <f aca="true" t="shared" si="5" ref="L20:L30">K20*(0.04/12)</f>
        <v>485.946196942944</v>
      </c>
    </row>
    <row r="21" spans="1:12" ht="12.75">
      <c r="A21" s="288">
        <f t="shared" si="0"/>
        <v>8</v>
      </c>
      <c r="B21" s="289" t="s">
        <v>27</v>
      </c>
      <c r="C21" s="273">
        <f>PMT(C18,C20,C16)*-1</f>
        <v>209341.24842335735</v>
      </c>
      <c r="F21" s="260" t="s">
        <v>56</v>
      </c>
      <c r="G21" s="261">
        <v>3</v>
      </c>
      <c r="H21" s="257">
        <f t="shared" si="1"/>
        <v>63875.17628717652</v>
      </c>
      <c r="I21" s="257">
        <f t="shared" si="2"/>
        <v>145466.07213618082</v>
      </c>
      <c r="J21" s="282">
        <f t="shared" si="3"/>
        <v>209341.24842335735</v>
      </c>
      <c r="K21" s="257">
        <f t="shared" si="4"/>
        <v>145466.07213618082</v>
      </c>
      <c r="L21" s="259">
        <f t="shared" si="5"/>
        <v>484.88690712060276</v>
      </c>
    </row>
    <row r="22" spans="1:12" ht="12.75">
      <c r="A22" s="288">
        <f t="shared" si="0"/>
        <v>9</v>
      </c>
      <c r="B22" s="289" t="s">
        <v>28</v>
      </c>
      <c r="C22" s="273">
        <f>12*C21</f>
        <v>2512094.981080288</v>
      </c>
      <c r="F22" s="260" t="s">
        <v>57</v>
      </c>
      <c r="G22" s="261">
        <v>4</v>
      </c>
      <c r="H22" s="257">
        <f t="shared" si="1"/>
        <v>64194.552168612405</v>
      </c>
      <c r="I22" s="257">
        <f t="shared" si="2"/>
        <v>145146.69625474495</v>
      </c>
      <c r="J22" s="282">
        <f t="shared" si="3"/>
        <v>209341.24842335735</v>
      </c>
      <c r="K22" s="257">
        <f t="shared" si="4"/>
        <v>145146.69625474495</v>
      </c>
      <c r="L22" s="259">
        <f t="shared" si="5"/>
        <v>483.8223208491499</v>
      </c>
    </row>
    <row r="23" spans="1:12" ht="12.75">
      <c r="A23" s="288">
        <v>10</v>
      </c>
      <c r="B23" s="290" t="s">
        <v>29</v>
      </c>
      <c r="C23" s="273">
        <f>L32</f>
        <v>5773.264728084864</v>
      </c>
      <c r="F23" s="260" t="s">
        <v>58</v>
      </c>
      <c r="G23" s="261">
        <v>5</v>
      </c>
      <c r="H23" s="257">
        <f t="shared" si="1"/>
        <v>64515.52492945545</v>
      </c>
      <c r="I23" s="257">
        <f t="shared" si="2"/>
        <v>144825.7234939019</v>
      </c>
      <c r="J23" s="282">
        <f t="shared" si="3"/>
        <v>209341.24842335735</v>
      </c>
      <c r="K23" s="257">
        <f t="shared" si="4"/>
        <v>144825.7234939019</v>
      </c>
      <c r="L23" s="259">
        <f t="shared" si="5"/>
        <v>482.7524116463397</v>
      </c>
    </row>
    <row r="24" spans="6:12" ht="12.75">
      <c r="F24" s="260" t="s">
        <v>59</v>
      </c>
      <c r="G24" s="261">
        <v>6</v>
      </c>
      <c r="H24" s="257">
        <f t="shared" si="1"/>
        <v>64838.10255410275</v>
      </c>
      <c r="I24" s="257">
        <f t="shared" si="2"/>
        <v>144503.1458692546</v>
      </c>
      <c r="J24" s="282">
        <f t="shared" si="3"/>
        <v>209341.24842335735</v>
      </c>
      <c r="K24" s="257">
        <f t="shared" si="4"/>
        <v>144503.1458692546</v>
      </c>
      <c r="L24" s="259">
        <f t="shared" si="5"/>
        <v>481.6771528975154</v>
      </c>
    </row>
    <row r="25" spans="1:12" ht="15.75" thickBot="1">
      <c r="A25" s="186" t="s">
        <v>2</v>
      </c>
      <c r="B25" s="181" t="s">
        <v>3</v>
      </c>
      <c r="C25" s="187" t="s">
        <v>16</v>
      </c>
      <c r="F25" s="260" t="s">
        <v>60</v>
      </c>
      <c r="G25" s="261">
        <v>7</v>
      </c>
      <c r="H25" s="257">
        <f t="shared" si="1"/>
        <v>65162.293066873244</v>
      </c>
      <c r="I25" s="257">
        <f t="shared" si="2"/>
        <v>144178.9553564841</v>
      </c>
      <c r="J25" s="282">
        <f t="shared" si="3"/>
        <v>209341.24842335735</v>
      </c>
      <c r="K25" s="257">
        <f t="shared" si="4"/>
        <v>144178.9553564841</v>
      </c>
      <c r="L25" s="259">
        <f t="shared" si="5"/>
        <v>480.596517854947</v>
      </c>
    </row>
    <row r="26" spans="1:12" ht="15">
      <c r="A26" s="182"/>
      <c r="B26" s="183" t="s">
        <v>31</v>
      </c>
      <c r="C26" s="189"/>
      <c r="F26" s="260" t="s">
        <v>61</v>
      </c>
      <c r="G26" s="261">
        <v>8</v>
      </c>
      <c r="H26" s="257">
        <f t="shared" si="1"/>
        <v>65488.104532207624</v>
      </c>
      <c r="I26" s="257">
        <f t="shared" si="2"/>
        <v>143853.14389114972</v>
      </c>
      <c r="J26" s="282">
        <f t="shared" si="3"/>
        <v>209341.24842335735</v>
      </c>
      <c r="K26" s="257">
        <f t="shared" si="4"/>
        <v>143853.14389114972</v>
      </c>
      <c r="L26" s="259">
        <f t="shared" si="5"/>
        <v>479.51047963716576</v>
      </c>
    </row>
    <row r="27" spans="6:12" ht="12.75">
      <c r="F27" s="260" t="s">
        <v>62</v>
      </c>
      <c r="G27" s="261">
        <v>9</v>
      </c>
      <c r="H27" s="257">
        <f t="shared" si="1"/>
        <v>65815.54505486865</v>
      </c>
      <c r="I27" s="257">
        <f t="shared" si="2"/>
        <v>143525.7033684887</v>
      </c>
      <c r="J27" s="282">
        <f t="shared" si="3"/>
        <v>209341.24842335735</v>
      </c>
      <c r="K27" s="257">
        <f t="shared" si="4"/>
        <v>143525.7033684887</v>
      </c>
      <c r="L27" s="259">
        <f t="shared" si="5"/>
        <v>478.4190112282957</v>
      </c>
    </row>
    <row r="28" spans="2:12" ht="12.75">
      <c r="B28" t="s">
        <v>234</v>
      </c>
      <c r="C28" s="273">
        <v>211440.88</v>
      </c>
      <c r="F28" s="260" t="s">
        <v>63</v>
      </c>
      <c r="G28" s="261">
        <v>10</v>
      </c>
      <c r="H28" s="257">
        <f t="shared" si="1"/>
        <v>66144.62278014299</v>
      </c>
      <c r="I28" s="257">
        <f t="shared" si="2"/>
        <v>143196.62564321436</v>
      </c>
      <c r="J28" s="282">
        <f t="shared" si="3"/>
        <v>209341.24842335735</v>
      </c>
      <c r="K28" s="257">
        <f t="shared" si="4"/>
        <v>143196.62564321436</v>
      </c>
      <c r="L28" s="259">
        <f t="shared" si="5"/>
        <v>477.3220854773812</v>
      </c>
    </row>
    <row r="29" spans="6:12" ht="12.75">
      <c r="F29" s="260" t="s">
        <v>64</v>
      </c>
      <c r="G29" s="261">
        <v>11</v>
      </c>
      <c r="H29" s="257">
        <f t="shared" si="1"/>
        <v>66475.34589404371</v>
      </c>
      <c r="I29" s="257">
        <f t="shared" si="2"/>
        <v>142865.90252931364</v>
      </c>
      <c r="J29" s="282">
        <f t="shared" si="3"/>
        <v>209341.24842335735</v>
      </c>
      <c r="K29" s="257">
        <f t="shared" si="4"/>
        <v>142865.90252931364</v>
      </c>
      <c r="L29" s="259">
        <f t="shared" si="5"/>
        <v>476.2196750977121</v>
      </c>
    </row>
    <row r="30" spans="2:12" ht="12.75">
      <c r="B30" t="s">
        <v>32</v>
      </c>
      <c r="C30" s="273">
        <f>C28</f>
        <v>211440.88</v>
      </c>
      <c r="F30" s="260" t="s">
        <v>65</v>
      </c>
      <c r="G30" s="261">
        <v>12</v>
      </c>
      <c r="H30" s="257">
        <f t="shared" si="1"/>
        <v>66807.72262351392</v>
      </c>
      <c r="I30" s="257">
        <f t="shared" si="2"/>
        <v>142533.52579984342</v>
      </c>
      <c r="J30" s="282">
        <f t="shared" si="3"/>
        <v>209341.24842335735</v>
      </c>
      <c r="K30" s="257">
        <f t="shared" si="4"/>
        <v>142533.52579984342</v>
      </c>
      <c r="L30" s="259">
        <f t="shared" si="5"/>
        <v>475.11175266614475</v>
      </c>
    </row>
    <row r="31" spans="1:12" ht="15.75" thickBot="1">
      <c r="A31" s="181"/>
      <c r="B31" s="191"/>
      <c r="C31" s="191"/>
      <c r="F31" s="236"/>
      <c r="G31" s="238"/>
      <c r="H31" s="238"/>
      <c r="I31" s="238"/>
      <c r="J31" s="238"/>
      <c r="K31" s="238"/>
      <c r="L31" s="262"/>
    </row>
    <row r="32" spans="1:12" ht="15.75" thickBot="1">
      <c r="A32" s="182"/>
      <c r="B32" s="183" t="s">
        <v>33</v>
      </c>
      <c r="F32" s="263" t="s">
        <v>66</v>
      </c>
      <c r="G32" s="235"/>
      <c r="H32" s="264">
        <f>SUM(H19:H30)</f>
        <v>780115.5626548287</v>
      </c>
      <c r="I32" s="264">
        <f>SUM(I19:I30)</f>
        <v>1731979.4184254596</v>
      </c>
      <c r="J32" s="283">
        <f>SUM(J19:J30)</f>
        <v>2512094.981080288</v>
      </c>
      <c r="K32" s="264"/>
      <c r="L32" s="265">
        <f>SUM(L19:L30)</f>
        <v>5773.264728084864</v>
      </c>
    </row>
    <row r="33" spans="1:12" ht="15">
      <c r="A33" s="182">
        <v>4</v>
      </c>
      <c r="B33" s="188" t="s">
        <v>34</v>
      </c>
      <c r="C33" s="7">
        <f>C34*1000/365/1000000</f>
        <v>195.3168748849315</v>
      </c>
      <c r="F33" s="228"/>
      <c r="G33" s="228"/>
      <c r="H33" s="228"/>
      <c r="I33" s="228"/>
      <c r="J33" s="228"/>
      <c r="K33" s="228"/>
      <c r="L33" s="228"/>
    </row>
    <row r="34" spans="1:12" ht="15">
      <c r="A34" s="182">
        <v>5</v>
      </c>
      <c r="B34" s="188" t="s">
        <v>35</v>
      </c>
      <c r="C34" s="7">
        <f>C35*325851/1000</f>
        <v>71290659.333</v>
      </c>
      <c r="F34" s="266" t="s">
        <v>68</v>
      </c>
      <c r="G34" s="228"/>
      <c r="H34" s="228"/>
      <c r="I34" s="228"/>
      <c r="J34" s="228"/>
      <c r="K34" s="228"/>
      <c r="L34" s="267">
        <f>J10+I32-L32</f>
        <v>30946219.153697375</v>
      </c>
    </row>
    <row r="35" spans="1:8" ht="15.75" thickBot="1">
      <c r="A35" s="181">
        <v>6</v>
      </c>
      <c r="B35" s="191" t="s">
        <v>36</v>
      </c>
      <c r="C35" s="423">
        <v>218783</v>
      </c>
      <c r="H35" s="330">
        <f>L34/C35</f>
        <v>141.4470921127207</v>
      </c>
    </row>
    <row r="36" spans="1:8" ht="15">
      <c r="A36" s="182"/>
      <c r="B36" s="183" t="s">
        <v>37</v>
      </c>
      <c r="H36" s="330"/>
    </row>
    <row r="37" spans="1:3" ht="15">
      <c r="A37" s="182">
        <v>6</v>
      </c>
      <c r="B37" s="188" t="s">
        <v>38</v>
      </c>
      <c r="C37" s="359">
        <f>C30/C34</f>
        <v>0.0029658987864364626</v>
      </c>
    </row>
    <row r="38" spans="1:3" ht="15">
      <c r="A38" s="182">
        <v>7</v>
      </c>
      <c r="B38" s="188" t="s">
        <v>39</v>
      </c>
      <c r="C38" s="359">
        <f>C30/C35</f>
        <v>0.9664410854591079</v>
      </c>
    </row>
  </sheetData>
  <sheetProtection/>
  <mergeCells count="4">
    <mergeCell ref="A2:C2"/>
    <mergeCell ref="F3:L3"/>
    <mergeCell ref="F17:F18"/>
    <mergeCell ref="G17: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5"/>
  <sheetViews>
    <sheetView zoomScalePageLayoutView="0" workbookViewId="0" topLeftCell="A1">
      <selection activeCell="B68" sqref="B68"/>
    </sheetView>
  </sheetViews>
  <sheetFormatPr defaultColWidth="9.140625" defaultRowHeight="12.75"/>
  <cols>
    <col min="1" max="1" width="4.8515625" style="0" bestFit="1" customWidth="1"/>
    <col min="2" max="2" width="47.140625" style="0" bestFit="1" customWidth="1"/>
    <col min="3" max="3" width="13.421875" style="0" bestFit="1" customWidth="1"/>
    <col min="9" max="10" width="12.28125" style="0" bestFit="1" customWidth="1"/>
    <col min="11" max="11" width="14.57421875" style="0" bestFit="1" customWidth="1"/>
    <col min="12" max="12" width="12.8515625" style="0" bestFit="1" customWidth="1"/>
    <col min="13" max="13" width="15.00390625" style="0" bestFit="1" customWidth="1"/>
  </cols>
  <sheetData>
    <row r="1" spans="1:3" ht="12.75">
      <c r="A1" s="459" t="s">
        <v>225</v>
      </c>
      <c r="B1" s="459"/>
      <c r="C1" s="459"/>
    </row>
    <row r="2" spans="1:3" ht="15">
      <c r="A2" s="458" t="s">
        <v>166</v>
      </c>
      <c r="B2" s="458"/>
      <c r="C2" s="458"/>
    </row>
    <row r="3" spans="1:3" ht="15.75" thickBot="1">
      <c r="A3" s="186" t="s">
        <v>2</v>
      </c>
      <c r="B3" s="284" t="s">
        <v>3</v>
      </c>
      <c r="C3" s="181" t="s">
        <v>4</v>
      </c>
    </row>
    <row r="4" spans="1:3" ht="15">
      <c r="A4" s="182">
        <v>1</v>
      </c>
      <c r="B4" s="183" t="s">
        <v>167</v>
      </c>
      <c r="C4" s="273">
        <v>5928109.64083564</v>
      </c>
    </row>
    <row r="5" spans="1:3" ht="15">
      <c r="A5" s="182">
        <v>2</v>
      </c>
      <c r="B5" s="183" t="s">
        <v>168</v>
      </c>
      <c r="C5" s="273">
        <v>8892171.212302472</v>
      </c>
    </row>
    <row r="6" spans="1:3" ht="15">
      <c r="A6" s="182">
        <v>3</v>
      </c>
      <c r="B6" s="183" t="s">
        <v>169</v>
      </c>
      <c r="C6" s="273">
        <v>13338263.569502722</v>
      </c>
    </row>
    <row r="7" spans="1:3" ht="15">
      <c r="A7" s="182">
        <v>4</v>
      </c>
      <c r="B7" s="183" t="s">
        <v>170</v>
      </c>
      <c r="C7" s="273">
        <v>8151162.570484778</v>
      </c>
    </row>
    <row r="8" spans="1:3" ht="15">
      <c r="A8" s="182">
        <v>5</v>
      </c>
      <c r="B8" s="183" t="s">
        <v>171</v>
      </c>
      <c r="C8" s="273">
        <v>32604623.27774306</v>
      </c>
    </row>
    <row r="9" spans="1:3" ht="15">
      <c r="A9" s="182">
        <v>6</v>
      </c>
      <c r="B9" s="183" t="s">
        <v>172</v>
      </c>
      <c r="C9" s="273">
        <v>31122605.994107667</v>
      </c>
    </row>
    <row r="10" spans="1:3" ht="15">
      <c r="A10" s="182">
        <v>7</v>
      </c>
      <c r="B10" s="183" t="s">
        <v>173</v>
      </c>
      <c r="C10" s="273">
        <v>5335300.026961878</v>
      </c>
    </row>
    <row r="11" spans="1:3" ht="15">
      <c r="A11" s="182">
        <v>8</v>
      </c>
      <c r="B11" s="183" t="s">
        <v>174</v>
      </c>
      <c r="C11" s="273">
        <v>6224521.1988215335</v>
      </c>
    </row>
    <row r="12" spans="1:3" ht="15">
      <c r="A12" s="182">
        <v>9</v>
      </c>
      <c r="B12" s="183" t="s">
        <v>175</v>
      </c>
      <c r="C12" s="273">
        <v>4149680.7992143556</v>
      </c>
    </row>
    <row r="13" spans="1:3" ht="15">
      <c r="A13" s="182">
        <v>10</v>
      </c>
      <c r="B13" s="183" t="s">
        <v>176</v>
      </c>
      <c r="C13" s="273">
        <v>2519450.9855370056</v>
      </c>
    </row>
    <row r="14" spans="1:3" ht="15">
      <c r="A14" s="182">
        <v>11</v>
      </c>
      <c r="B14" s="183" t="s">
        <v>177</v>
      </c>
      <c r="C14" s="273">
        <v>12597241.425587</v>
      </c>
    </row>
    <row r="15" spans="1:3" ht="15">
      <c r="A15" s="182">
        <v>12</v>
      </c>
      <c r="B15" s="183" t="s">
        <v>178</v>
      </c>
      <c r="C15" s="273">
        <v>1778428.841621284</v>
      </c>
    </row>
    <row r="16" spans="1:3" ht="15">
      <c r="A16" s="182">
        <v>13</v>
      </c>
      <c r="B16" s="183" t="s">
        <v>179</v>
      </c>
      <c r="C16" s="273">
        <v>4979614.258637622</v>
      </c>
    </row>
    <row r="17" spans="1:3" ht="15">
      <c r="A17" s="182">
        <v>14</v>
      </c>
      <c r="B17" s="183" t="s">
        <v>180</v>
      </c>
      <c r="C17" s="273">
        <v>19518322.35952147</v>
      </c>
    </row>
    <row r="18" spans="1:3" ht="15">
      <c r="A18" s="182">
        <v>15</v>
      </c>
      <c r="B18" s="183" t="s">
        <v>181</v>
      </c>
      <c r="C18" s="273">
        <v>27876958.168288544</v>
      </c>
    </row>
    <row r="19" spans="1:3" ht="15">
      <c r="A19" s="182">
        <v>16</v>
      </c>
      <c r="B19" s="183" t="s">
        <v>182</v>
      </c>
      <c r="C19" s="273">
        <v>1482030.7857334167</v>
      </c>
    </row>
    <row r="20" spans="1:3" ht="15">
      <c r="A20" s="182">
        <v>17</v>
      </c>
      <c r="B20" s="183" t="s">
        <v>183</v>
      </c>
      <c r="C20" s="273">
        <v>2667650.013480939</v>
      </c>
    </row>
    <row r="21" spans="1:3" ht="15">
      <c r="A21" s="182">
        <v>18</v>
      </c>
      <c r="B21" s="183" t="s">
        <v>184</v>
      </c>
      <c r="C21" s="273">
        <v>1107077.5235246853</v>
      </c>
    </row>
    <row r="22" spans="1:3" ht="15">
      <c r="A22" s="182"/>
      <c r="B22" s="185" t="s">
        <v>113</v>
      </c>
      <c r="C22" s="273">
        <v>190273199.14980805</v>
      </c>
    </row>
    <row r="24" spans="1:3" ht="15.75" thickBot="1">
      <c r="A24" s="460" t="s">
        <v>185</v>
      </c>
      <c r="B24" s="460"/>
      <c r="C24" s="460"/>
    </row>
    <row r="25" spans="1:3" ht="15.75" thickBot="1">
      <c r="A25" s="186" t="s">
        <v>2</v>
      </c>
      <c r="B25" s="181" t="s">
        <v>3</v>
      </c>
      <c r="C25" s="187" t="s">
        <v>4</v>
      </c>
    </row>
    <row r="26" spans="1:3" ht="15">
      <c r="A26" s="182">
        <v>1</v>
      </c>
      <c r="B26" s="183" t="s">
        <v>186</v>
      </c>
      <c r="C26" s="273">
        <v>2964048.069368806</v>
      </c>
    </row>
    <row r="27" spans="1:3" ht="15">
      <c r="A27" s="182">
        <v>2</v>
      </c>
      <c r="B27" s="183" t="s">
        <v>11</v>
      </c>
      <c r="C27" s="273">
        <v>66595614.97669851</v>
      </c>
    </row>
    <row r="28" spans="1:3" ht="15">
      <c r="A28" s="182">
        <v>3</v>
      </c>
      <c r="B28" s="183" t="s">
        <v>12</v>
      </c>
      <c r="C28" s="273">
        <v>9513659.282385502</v>
      </c>
    </row>
    <row r="29" spans="1:3" ht="15">
      <c r="A29" s="182">
        <v>4</v>
      </c>
      <c r="B29" s="183" t="s">
        <v>13</v>
      </c>
      <c r="C29" s="273">
        <v>1902729.156057495</v>
      </c>
    </row>
    <row r="30" spans="1:3" ht="15">
      <c r="A30" s="182">
        <v>5</v>
      </c>
      <c r="B30" s="183" t="s">
        <v>187</v>
      </c>
      <c r="C30" s="273">
        <v>347845100</v>
      </c>
    </row>
    <row r="31" spans="1:3" ht="15">
      <c r="A31" s="183"/>
      <c r="B31" s="185" t="s">
        <v>14</v>
      </c>
      <c r="C31" s="273">
        <v>428821151.4845103</v>
      </c>
    </row>
    <row r="33" spans="1:4" ht="15.75" thickBot="1">
      <c r="A33" s="460" t="s">
        <v>188</v>
      </c>
      <c r="B33" s="460"/>
      <c r="C33" s="460"/>
      <c r="D33" s="460"/>
    </row>
    <row r="34" spans="1:13" ht="15.75" thickBot="1">
      <c r="A34" s="186" t="s">
        <v>2</v>
      </c>
      <c r="B34" s="181" t="s">
        <v>3</v>
      </c>
      <c r="C34" s="181" t="s">
        <v>16</v>
      </c>
      <c r="D34" s="181" t="s">
        <v>17</v>
      </c>
      <c r="G34" s="337" t="s">
        <v>41</v>
      </c>
      <c r="H34" s="339"/>
      <c r="I34" s="339"/>
      <c r="J34" s="339"/>
      <c r="K34" s="339"/>
      <c r="L34" s="339"/>
      <c r="M34" s="340"/>
    </row>
    <row r="35" spans="1:13" ht="15">
      <c r="A35" s="182">
        <v>1</v>
      </c>
      <c r="B35" s="183" t="s">
        <v>18</v>
      </c>
      <c r="C35" s="428">
        <v>190273199.14980805</v>
      </c>
      <c r="D35" s="182" t="s">
        <v>4</v>
      </c>
      <c r="G35" s="143"/>
      <c r="H35" s="144"/>
      <c r="I35" s="144"/>
      <c r="J35" s="144"/>
      <c r="K35" s="144"/>
      <c r="L35" s="144"/>
      <c r="M35" s="145"/>
    </row>
    <row r="36" spans="1:13" ht="15">
      <c r="A36" s="182">
        <v>2</v>
      </c>
      <c r="B36" s="183" t="s">
        <v>78</v>
      </c>
      <c r="C36" s="428">
        <v>428821151.4845103</v>
      </c>
      <c r="D36" s="182" t="s">
        <v>4</v>
      </c>
      <c r="G36" s="146"/>
      <c r="H36" s="147" t="s">
        <v>42</v>
      </c>
      <c r="I36" s="148"/>
      <c r="J36" s="148"/>
      <c r="K36" s="148"/>
      <c r="L36" s="148"/>
      <c r="M36" s="149"/>
    </row>
    <row r="37" spans="1:13" ht="15">
      <c r="A37" s="182">
        <v>3</v>
      </c>
      <c r="B37" s="183" t="s">
        <v>20</v>
      </c>
      <c r="C37" s="428">
        <v>619094350.6343184</v>
      </c>
      <c r="D37" s="182" t="s">
        <v>4</v>
      </c>
      <c r="G37" s="146"/>
      <c r="H37" s="150" t="s">
        <v>21</v>
      </c>
      <c r="I37" s="151"/>
      <c r="J37" s="151"/>
      <c r="K37" s="152">
        <v>0.06</v>
      </c>
      <c r="L37" s="148"/>
      <c r="M37" s="149"/>
    </row>
    <row r="38" spans="1:13" ht="15">
      <c r="A38" s="182">
        <v>4</v>
      </c>
      <c r="B38" s="183" t="s">
        <v>21</v>
      </c>
      <c r="C38" s="189">
        <v>0.06</v>
      </c>
      <c r="D38" s="182" t="s">
        <v>22</v>
      </c>
      <c r="G38" s="146"/>
      <c r="H38" s="153" t="s">
        <v>23</v>
      </c>
      <c r="I38" s="148"/>
      <c r="J38" s="148"/>
      <c r="K38" s="154">
        <v>0.005</v>
      </c>
      <c r="L38" s="148"/>
      <c r="M38" s="149"/>
    </row>
    <row r="39" spans="1:13" ht="15">
      <c r="A39" s="182">
        <v>5</v>
      </c>
      <c r="B39" s="183" t="s">
        <v>23</v>
      </c>
      <c r="C39" s="189">
        <v>0.005</v>
      </c>
      <c r="D39" s="182" t="s">
        <v>22</v>
      </c>
      <c r="G39" s="146"/>
      <c r="H39" s="153" t="s">
        <v>24</v>
      </c>
      <c r="I39" s="148"/>
      <c r="J39" s="148"/>
      <c r="K39" s="155">
        <v>20</v>
      </c>
      <c r="L39" s="148"/>
      <c r="M39" s="149"/>
    </row>
    <row r="40" spans="1:13" ht="15">
      <c r="A40" s="182">
        <v>6</v>
      </c>
      <c r="B40" s="183" t="s">
        <v>24</v>
      </c>
      <c r="C40" s="189">
        <v>20</v>
      </c>
      <c r="D40" s="182" t="s">
        <v>25</v>
      </c>
      <c r="G40" s="146"/>
      <c r="H40" s="153" t="s">
        <v>26</v>
      </c>
      <c r="I40" s="148"/>
      <c r="J40" s="148"/>
      <c r="K40" s="155">
        <v>240</v>
      </c>
      <c r="L40" s="148"/>
      <c r="M40" s="149"/>
    </row>
    <row r="41" spans="1:13" ht="15">
      <c r="A41" s="182">
        <v>7</v>
      </c>
      <c r="B41" s="183" t="s">
        <v>26</v>
      </c>
      <c r="C41" s="189">
        <v>240</v>
      </c>
      <c r="D41" s="182" t="s">
        <v>22</v>
      </c>
      <c r="G41" s="146"/>
      <c r="H41" s="153" t="s">
        <v>43</v>
      </c>
      <c r="I41" s="148"/>
      <c r="J41" s="148"/>
      <c r="K41" s="156">
        <f>C37</f>
        <v>619094350.6343184</v>
      </c>
      <c r="L41" s="148"/>
      <c r="M41" s="149"/>
    </row>
    <row r="42" spans="1:13" ht="15">
      <c r="A42" s="182">
        <v>8</v>
      </c>
      <c r="B42" s="183" t="s">
        <v>27</v>
      </c>
      <c r="C42" s="428">
        <v>4435384.209228039</v>
      </c>
      <c r="D42" s="182" t="s">
        <v>4</v>
      </c>
      <c r="G42" s="146"/>
      <c r="H42" s="153"/>
      <c r="I42" s="148"/>
      <c r="J42" s="148"/>
      <c r="K42" s="157"/>
      <c r="L42" s="148"/>
      <c r="M42" s="149"/>
    </row>
    <row r="43" spans="1:13" ht="15">
      <c r="A43" s="182">
        <v>9</v>
      </c>
      <c r="B43" s="183" t="s">
        <v>28</v>
      </c>
      <c r="C43" s="428">
        <v>53224610.510736465</v>
      </c>
      <c r="D43" s="182" t="s">
        <v>4</v>
      </c>
      <c r="G43" s="146"/>
      <c r="H43" s="153" t="s">
        <v>44</v>
      </c>
      <c r="I43" s="148"/>
      <c r="J43" s="148"/>
      <c r="K43" s="158">
        <f>PMT(K38,K40,K41)*-1</f>
        <v>4435384.209227968</v>
      </c>
      <c r="L43" s="148"/>
      <c r="M43" s="149"/>
    </row>
    <row r="44" spans="1:13" ht="15">
      <c r="A44" s="182">
        <v>10</v>
      </c>
      <c r="B44" s="188" t="s">
        <v>29</v>
      </c>
      <c r="C44" s="428">
        <v>24708678.779786367</v>
      </c>
      <c r="D44" s="182" t="s">
        <v>4</v>
      </c>
      <c r="G44" s="146"/>
      <c r="H44" s="153" t="s">
        <v>45</v>
      </c>
      <c r="I44" s="148"/>
      <c r="J44" s="148"/>
      <c r="K44" s="158">
        <f>K43*12</f>
        <v>53224610.510735616</v>
      </c>
      <c r="L44" s="148"/>
      <c r="M44" s="149"/>
    </row>
    <row r="45" spans="7:13" ht="12.75">
      <c r="G45" s="146"/>
      <c r="H45" s="159" t="s">
        <v>46</v>
      </c>
      <c r="I45" s="160"/>
      <c r="J45" s="160"/>
      <c r="K45" s="161">
        <f>K44*K39</f>
        <v>1064492210.2147124</v>
      </c>
      <c r="L45" s="148"/>
      <c r="M45" s="149"/>
    </row>
    <row r="46" spans="1:13" ht="15">
      <c r="A46" s="458" t="s">
        <v>189</v>
      </c>
      <c r="B46" s="458"/>
      <c r="C46" s="458"/>
      <c r="G46" s="146"/>
      <c r="H46" s="148"/>
      <c r="I46" s="148"/>
      <c r="J46" s="148"/>
      <c r="K46" s="148"/>
      <c r="L46" s="148"/>
      <c r="M46" s="149"/>
    </row>
    <row r="47" spans="1:13" ht="15.75" thickBot="1">
      <c r="A47" s="186" t="s">
        <v>2</v>
      </c>
      <c r="B47" s="181" t="s">
        <v>3</v>
      </c>
      <c r="C47" s="181" t="s">
        <v>16</v>
      </c>
      <c r="G47" s="146" t="s">
        <v>47</v>
      </c>
      <c r="H47" s="148"/>
      <c r="I47" s="148"/>
      <c r="J47" s="148"/>
      <c r="K47" s="148"/>
      <c r="L47" s="148"/>
      <c r="M47" s="149"/>
    </row>
    <row r="48" spans="1:13" ht="24.75">
      <c r="A48" s="182"/>
      <c r="B48" s="183" t="s">
        <v>31</v>
      </c>
      <c r="C48" s="189"/>
      <c r="G48" s="338" t="s">
        <v>48</v>
      </c>
      <c r="H48" s="162" t="s">
        <v>49</v>
      </c>
      <c r="I48" s="162" t="s">
        <v>50</v>
      </c>
      <c r="J48" s="162" t="s">
        <v>51</v>
      </c>
      <c r="K48" s="162" t="s">
        <v>52</v>
      </c>
      <c r="L48" s="162" t="s">
        <v>53</v>
      </c>
      <c r="M48" s="163" t="s">
        <v>67</v>
      </c>
    </row>
    <row r="49" spans="1:13" ht="15.75" thickBot="1">
      <c r="A49" s="182"/>
      <c r="B49" s="188"/>
      <c r="C49" s="184"/>
      <c r="G49" s="335"/>
      <c r="H49" s="336"/>
      <c r="I49" s="164" t="s">
        <v>69</v>
      </c>
      <c r="J49" s="164" t="s">
        <v>70</v>
      </c>
      <c r="K49" s="164" t="s">
        <v>71</v>
      </c>
      <c r="L49" s="164" t="s">
        <v>72</v>
      </c>
      <c r="M49" s="165"/>
    </row>
    <row r="50" spans="1:13" ht="15">
      <c r="A50" s="182">
        <v>1</v>
      </c>
      <c r="B50" s="188" t="s">
        <v>190</v>
      </c>
      <c r="C50" s="428">
        <v>53224608.819480404</v>
      </c>
      <c r="G50" s="166" t="s">
        <v>54</v>
      </c>
      <c r="H50" s="167">
        <v>1</v>
      </c>
      <c r="I50" s="168">
        <f aca="true" t="shared" si="0" ref="I50:I61">PPMT($K$58,H50,$K$60,$K$61)*-1</f>
        <v>1339912.4560564468</v>
      </c>
      <c r="J50" s="168">
        <f>K50-I50</f>
        <v>3095471.753171592</v>
      </c>
      <c r="K50" s="168">
        <f aca="true" t="shared" si="1" ref="K50:K61">$K$63</f>
        <v>4435384.209228039</v>
      </c>
      <c r="L50" s="169">
        <f aca="true" t="shared" si="2" ref="L50:L61">$K$61-I50</f>
        <v>617754438.1782619</v>
      </c>
      <c r="M50" s="170">
        <f>L50*(0.04/12)</f>
        <v>2059181.4605942063</v>
      </c>
    </row>
    <row r="51" spans="1:13" ht="15">
      <c r="A51" s="182">
        <v>2</v>
      </c>
      <c r="B51" s="188" t="s">
        <v>191</v>
      </c>
      <c r="C51" s="428">
        <v>11827689.34854031</v>
      </c>
      <c r="G51" s="171" t="s">
        <v>55</v>
      </c>
      <c r="H51" s="172">
        <v>2</v>
      </c>
      <c r="I51" s="168">
        <f t="shared" si="0"/>
        <v>1346612.0183367287</v>
      </c>
      <c r="J51" s="168">
        <f aca="true" t="shared" si="3" ref="J51:J61">K51-I51</f>
        <v>3088772.19089131</v>
      </c>
      <c r="K51" s="168">
        <f t="shared" si="1"/>
        <v>4435384.209228039</v>
      </c>
      <c r="L51" s="169">
        <f t="shared" si="2"/>
        <v>617747738.6159816</v>
      </c>
      <c r="M51" s="170">
        <f aca="true" t="shared" si="4" ref="M51:M61">L51*(0.04/12)</f>
        <v>2059159.1287199387</v>
      </c>
    </row>
    <row r="52" spans="1:13" ht="15.75" thickBot="1">
      <c r="A52" s="181"/>
      <c r="B52" s="190" t="s">
        <v>32</v>
      </c>
      <c r="C52" s="443">
        <v>65052298.16802071</v>
      </c>
      <c r="G52" s="171" t="s">
        <v>56</v>
      </c>
      <c r="H52" s="172">
        <v>3</v>
      </c>
      <c r="I52" s="168">
        <f t="shared" si="0"/>
        <v>1353345.0784284128</v>
      </c>
      <c r="J52" s="168">
        <f t="shared" si="3"/>
        <v>3082039.130799626</v>
      </c>
      <c r="K52" s="168">
        <f t="shared" si="1"/>
        <v>4435384.209228039</v>
      </c>
      <c r="L52" s="169">
        <f t="shared" si="2"/>
        <v>617741005.55589</v>
      </c>
      <c r="M52" s="170">
        <f t="shared" si="4"/>
        <v>2059136.6851863</v>
      </c>
    </row>
    <row r="53" spans="1:13" ht="15">
      <c r="A53" s="182"/>
      <c r="B53" s="183" t="s">
        <v>33</v>
      </c>
      <c r="C53" s="189"/>
      <c r="G53" s="171" t="s">
        <v>57</v>
      </c>
      <c r="H53" s="172">
        <v>4</v>
      </c>
      <c r="I53" s="168">
        <f t="shared" si="0"/>
        <v>1360111.8038205546</v>
      </c>
      <c r="J53" s="168">
        <f t="shared" si="3"/>
        <v>3075272.405407484</v>
      </c>
      <c r="K53" s="168">
        <f t="shared" si="1"/>
        <v>4435384.209228039</v>
      </c>
      <c r="L53" s="169">
        <f t="shared" si="2"/>
        <v>617734238.8304977</v>
      </c>
      <c r="M53" s="170">
        <f t="shared" si="4"/>
        <v>2059114.1294349926</v>
      </c>
    </row>
    <row r="54" spans="1:13" ht="15">
      <c r="A54" s="182">
        <v>3</v>
      </c>
      <c r="B54" s="188" t="s">
        <v>34</v>
      </c>
      <c r="C54" s="189">
        <v>135.02098026961878</v>
      </c>
      <c r="G54" s="171" t="s">
        <v>58</v>
      </c>
      <c r="H54" s="172">
        <v>5</v>
      </c>
      <c r="I54" s="168">
        <f t="shared" si="0"/>
        <v>1366912.3628396569</v>
      </c>
      <c r="J54" s="168">
        <f t="shared" si="3"/>
        <v>3068471.846388382</v>
      </c>
      <c r="K54" s="168">
        <f t="shared" si="1"/>
        <v>4435384.209228039</v>
      </c>
      <c r="L54" s="169">
        <f t="shared" si="2"/>
        <v>617727438.2714787</v>
      </c>
      <c r="M54" s="170">
        <f t="shared" si="4"/>
        <v>2059091.460904929</v>
      </c>
    </row>
    <row r="55" spans="1:13" ht="15">
      <c r="A55" s="182">
        <v>4</v>
      </c>
      <c r="B55" s="188" t="s">
        <v>35</v>
      </c>
      <c r="C55" s="184">
        <v>49282657.798410855</v>
      </c>
      <c r="G55" s="171" t="s">
        <v>59</v>
      </c>
      <c r="H55" s="172">
        <v>6</v>
      </c>
      <c r="I55" s="168">
        <f t="shared" si="0"/>
        <v>1373746.9246538547</v>
      </c>
      <c r="J55" s="168">
        <f t="shared" si="3"/>
        <v>3061637.284574184</v>
      </c>
      <c r="K55" s="168">
        <f t="shared" si="1"/>
        <v>4435384.209228039</v>
      </c>
      <c r="L55" s="169">
        <f t="shared" si="2"/>
        <v>617720603.7096645</v>
      </c>
      <c r="M55" s="170">
        <f t="shared" si="4"/>
        <v>2059068.679032215</v>
      </c>
    </row>
    <row r="56" spans="1:13" ht="15.75" thickBot="1">
      <c r="A56" s="181">
        <v>5</v>
      </c>
      <c r="B56" s="191" t="s">
        <v>36</v>
      </c>
      <c r="C56" s="192">
        <v>151237</v>
      </c>
      <c r="G56" s="171" t="s">
        <v>60</v>
      </c>
      <c r="H56" s="172">
        <v>7</v>
      </c>
      <c r="I56" s="168">
        <f t="shared" si="0"/>
        <v>1380615.6592771239</v>
      </c>
      <c r="J56" s="168">
        <f t="shared" si="3"/>
        <v>3054768.549950915</v>
      </c>
      <c r="K56" s="168">
        <f t="shared" si="1"/>
        <v>4435384.209228039</v>
      </c>
      <c r="L56" s="169">
        <f t="shared" si="2"/>
        <v>617713734.9750413</v>
      </c>
      <c r="M56" s="170">
        <f t="shared" si="4"/>
        <v>2059045.7832501377</v>
      </c>
    </row>
    <row r="57" spans="1:13" ht="15">
      <c r="A57" s="182"/>
      <c r="B57" s="183" t="s">
        <v>37</v>
      </c>
      <c r="C57" s="189"/>
      <c r="G57" s="171" t="s">
        <v>61</v>
      </c>
      <c r="H57" s="172">
        <v>8</v>
      </c>
      <c r="I57" s="168">
        <f t="shared" si="0"/>
        <v>1387518.7375735096</v>
      </c>
      <c r="J57" s="168">
        <f t="shared" si="3"/>
        <v>3047865.471654529</v>
      </c>
      <c r="K57" s="168">
        <f t="shared" si="1"/>
        <v>4435384.209228039</v>
      </c>
      <c r="L57" s="169">
        <f t="shared" si="2"/>
        <v>617706831.8967448</v>
      </c>
      <c r="M57" s="170">
        <f t="shared" si="4"/>
        <v>2059022.7729891497</v>
      </c>
    </row>
    <row r="58" spans="1:13" ht="15">
      <c r="A58" s="182">
        <v>6</v>
      </c>
      <c r="B58" s="188" t="s">
        <v>38</v>
      </c>
      <c r="C58" s="281">
        <v>1.3199835616438356</v>
      </c>
      <c r="G58" s="171" t="s">
        <v>62</v>
      </c>
      <c r="H58" s="172">
        <v>9</v>
      </c>
      <c r="I58" s="168">
        <f t="shared" si="0"/>
        <v>1394456.3312613769</v>
      </c>
      <c r="J58" s="168">
        <f t="shared" si="3"/>
        <v>3040927.877966662</v>
      </c>
      <c r="K58" s="168">
        <f t="shared" si="1"/>
        <v>4435384.209228039</v>
      </c>
      <c r="L58" s="169">
        <f t="shared" si="2"/>
        <v>617699894.303057</v>
      </c>
      <c r="M58" s="170">
        <f t="shared" si="4"/>
        <v>2058999.6476768567</v>
      </c>
    </row>
    <row r="59" spans="1:13" ht="15">
      <c r="A59" s="182">
        <v>7</v>
      </c>
      <c r="B59" s="188" t="s">
        <v>39</v>
      </c>
      <c r="C59" s="281">
        <v>430.13480939201855</v>
      </c>
      <c r="G59" s="171" t="s">
        <v>63</v>
      </c>
      <c r="H59" s="172">
        <v>10</v>
      </c>
      <c r="I59" s="168">
        <f t="shared" si="0"/>
        <v>1401428.6129176836</v>
      </c>
      <c r="J59" s="168">
        <f t="shared" si="3"/>
        <v>3033955.5963103552</v>
      </c>
      <c r="K59" s="168">
        <f t="shared" si="1"/>
        <v>4435384.209228039</v>
      </c>
      <c r="L59" s="169">
        <f t="shared" si="2"/>
        <v>617692922.0214007</v>
      </c>
      <c r="M59" s="170">
        <f t="shared" si="4"/>
        <v>2058976.4067380023</v>
      </c>
    </row>
    <row r="60" spans="7:13" ht="12.75">
      <c r="G60" s="171" t="s">
        <v>64</v>
      </c>
      <c r="H60" s="172">
        <v>11</v>
      </c>
      <c r="I60" s="168">
        <f t="shared" si="0"/>
        <v>1408435.7559822714</v>
      </c>
      <c r="J60" s="168">
        <f t="shared" si="3"/>
        <v>3026948.4532457674</v>
      </c>
      <c r="K60" s="168">
        <f t="shared" si="1"/>
        <v>4435384.209228039</v>
      </c>
      <c r="L60" s="169">
        <f t="shared" si="2"/>
        <v>617685914.8783361</v>
      </c>
      <c r="M60" s="170">
        <f t="shared" si="4"/>
        <v>2058953.0495944538</v>
      </c>
    </row>
    <row r="61" spans="7:13" ht="12.75">
      <c r="G61" s="171" t="s">
        <v>65</v>
      </c>
      <c r="H61" s="172">
        <v>12</v>
      </c>
      <c r="I61" s="168">
        <f t="shared" si="0"/>
        <v>1415477.9347621826</v>
      </c>
      <c r="J61" s="168">
        <f t="shared" si="3"/>
        <v>3019906.274465856</v>
      </c>
      <c r="K61" s="168">
        <f t="shared" si="1"/>
        <v>4435384.209228039</v>
      </c>
      <c r="L61" s="169">
        <f t="shared" si="2"/>
        <v>617678872.6995561</v>
      </c>
      <c r="M61" s="170">
        <f t="shared" si="4"/>
        <v>2058929.575665187</v>
      </c>
    </row>
    <row r="62" spans="7:13" ht="12.75">
      <c r="G62" s="146"/>
      <c r="H62" s="148"/>
      <c r="I62" s="148"/>
      <c r="J62" s="148"/>
      <c r="K62" s="148"/>
      <c r="L62" s="148"/>
      <c r="M62" s="173"/>
    </row>
    <row r="63" spans="7:13" ht="13.5" thickBot="1">
      <c r="G63" s="174" t="s">
        <v>66</v>
      </c>
      <c r="H63" s="175"/>
      <c r="I63" s="176">
        <f>SUM(I50:I61)</f>
        <v>16528573.675909806</v>
      </c>
      <c r="J63" s="176">
        <f>SUM(J50:J61)</f>
        <v>36696036.83482667</v>
      </c>
      <c r="K63" s="176">
        <f>SUM(K50:K61)</f>
        <v>53224610.510736465</v>
      </c>
      <c r="L63" s="176"/>
      <c r="M63" s="177">
        <f>SUM(M50:M61)</f>
        <v>24708678.779786367</v>
      </c>
    </row>
    <row r="64" spans="7:13" ht="15">
      <c r="G64" s="178"/>
      <c r="H64" s="178"/>
      <c r="I64" s="178"/>
      <c r="J64" s="178"/>
      <c r="K64" s="178"/>
      <c r="L64" s="178"/>
      <c r="M64" s="178"/>
    </row>
    <row r="65" spans="7:13" ht="15">
      <c r="G65" s="179" t="s">
        <v>68</v>
      </c>
      <c r="H65" s="178"/>
      <c r="I65" s="178"/>
      <c r="J65" s="178"/>
      <c r="K65" s="178"/>
      <c r="L65" s="178"/>
      <c r="M65" s="442">
        <f>K41+J63-M63</f>
        <v>631081708.6893587</v>
      </c>
    </row>
  </sheetData>
  <sheetProtection/>
  <mergeCells count="5">
    <mergeCell ref="A46:C46"/>
    <mergeCell ref="A1:C1"/>
    <mergeCell ref="A2:C2"/>
    <mergeCell ref="A24:C24"/>
    <mergeCell ref="A33:D3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59"/>
  <sheetViews>
    <sheetView zoomScalePageLayoutView="0" workbookViewId="0" topLeftCell="A1">
      <selection activeCell="F11" sqref="F11:L42"/>
    </sheetView>
  </sheetViews>
  <sheetFormatPr defaultColWidth="9.140625" defaultRowHeight="12.75"/>
  <cols>
    <col min="1" max="1" width="4.8515625" style="0" bestFit="1" customWidth="1"/>
    <col min="2" max="2" width="50.421875" style="0" bestFit="1" customWidth="1"/>
    <col min="3" max="3" width="12.28125" style="0" bestFit="1" customWidth="1"/>
    <col min="7" max="7" width="13.00390625" style="0" customWidth="1"/>
    <col min="8" max="8" width="10.140625" style="0" bestFit="1" customWidth="1"/>
    <col min="9" max="9" width="11.421875" style="0" bestFit="1" customWidth="1"/>
    <col min="10" max="11" width="12.28125" style="0" bestFit="1" customWidth="1"/>
    <col min="12" max="12" width="14.00390625" style="0" bestFit="1" customWidth="1"/>
  </cols>
  <sheetData>
    <row r="1" spans="1:3" ht="12.75">
      <c r="A1" s="459" t="s">
        <v>226</v>
      </c>
      <c r="B1" s="459"/>
      <c r="C1" s="459"/>
    </row>
    <row r="2" spans="1:3" ht="15">
      <c r="A2" s="458" t="s">
        <v>166</v>
      </c>
      <c r="B2" s="458"/>
      <c r="C2" s="458"/>
    </row>
    <row r="3" spans="1:3" ht="15.75" thickBot="1">
      <c r="A3" s="186" t="s">
        <v>2</v>
      </c>
      <c r="B3" s="284" t="s">
        <v>3</v>
      </c>
      <c r="C3" s="181" t="s">
        <v>128</v>
      </c>
    </row>
    <row r="4" spans="1:3" ht="15">
      <c r="A4" s="182">
        <v>1</v>
      </c>
      <c r="B4" s="183" t="s">
        <v>167</v>
      </c>
      <c r="C4" s="353">
        <v>643073.8957235961</v>
      </c>
    </row>
    <row r="5" spans="1:3" ht="15">
      <c r="A5" s="182">
        <v>2</v>
      </c>
      <c r="B5" s="183" t="s">
        <v>168</v>
      </c>
      <c r="C5" s="353">
        <v>964611.5759307204</v>
      </c>
    </row>
    <row r="6" spans="1:3" ht="15">
      <c r="A6" s="182">
        <v>3</v>
      </c>
      <c r="B6" s="183" t="s">
        <v>169</v>
      </c>
      <c r="C6" s="353">
        <v>1446918.096241407</v>
      </c>
    </row>
    <row r="7" spans="1:3" ht="15">
      <c r="A7" s="182">
        <v>4</v>
      </c>
      <c r="B7" s="183" t="s">
        <v>170</v>
      </c>
      <c r="C7" s="353">
        <v>884227.8882242657</v>
      </c>
    </row>
    <row r="8" spans="1:3" ht="15">
      <c r="A8" s="182">
        <v>5</v>
      </c>
      <c r="B8" s="183" t="s">
        <v>171</v>
      </c>
      <c r="C8" s="353">
        <v>3536908.6235157577</v>
      </c>
    </row>
    <row r="9" spans="1:3" ht="15">
      <c r="A9" s="182">
        <v>6</v>
      </c>
      <c r="B9" s="183" t="s">
        <v>172</v>
      </c>
      <c r="C9" s="353">
        <v>3376141.248102848</v>
      </c>
    </row>
    <row r="10" spans="1:3" ht="15.75" thickBot="1">
      <c r="A10" s="182">
        <v>7</v>
      </c>
      <c r="B10" s="183" t="s">
        <v>173</v>
      </c>
      <c r="C10" s="353">
        <v>578766.6526203018</v>
      </c>
    </row>
    <row r="11" spans="1:12" ht="15">
      <c r="A11" s="182">
        <v>8</v>
      </c>
      <c r="B11" s="183" t="s">
        <v>174</v>
      </c>
      <c r="C11" s="353">
        <v>675228.2496205696</v>
      </c>
      <c r="F11" s="337" t="s">
        <v>41</v>
      </c>
      <c r="G11" s="339"/>
      <c r="H11" s="339"/>
      <c r="I11" s="339"/>
      <c r="J11" s="339"/>
      <c r="K11" s="339"/>
      <c r="L11" s="340"/>
    </row>
    <row r="12" spans="1:12" ht="15">
      <c r="A12" s="182">
        <v>9</v>
      </c>
      <c r="B12" s="183" t="s">
        <v>175</v>
      </c>
      <c r="C12" s="353">
        <v>450152.1664137131</v>
      </c>
      <c r="F12" s="143"/>
      <c r="G12" s="144"/>
      <c r="H12" s="144"/>
      <c r="I12" s="144"/>
      <c r="J12" s="144"/>
      <c r="K12" s="144"/>
      <c r="L12" s="145"/>
    </row>
    <row r="13" spans="1:12" ht="15">
      <c r="A13" s="182">
        <v>10</v>
      </c>
      <c r="B13" s="183" t="s">
        <v>176</v>
      </c>
      <c r="C13" s="353">
        <v>273306.8817069905</v>
      </c>
      <c r="F13" s="146"/>
      <c r="G13" s="147" t="s">
        <v>42</v>
      </c>
      <c r="H13" s="148"/>
      <c r="I13" s="148"/>
      <c r="J13" s="148"/>
      <c r="K13" s="148"/>
      <c r="L13" s="149"/>
    </row>
    <row r="14" spans="1:12" ht="15">
      <c r="A14" s="182">
        <v>11</v>
      </c>
      <c r="B14" s="183" t="s">
        <v>177</v>
      </c>
      <c r="C14" s="353">
        <v>1366532.9438442995</v>
      </c>
      <c r="F14" s="146"/>
      <c r="G14" s="150" t="s">
        <v>21</v>
      </c>
      <c r="H14" s="151"/>
      <c r="I14" s="151"/>
      <c r="J14" s="152">
        <v>0.06</v>
      </c>
      <c r="K14" s="148"/>
      <c r="L14" s="149"/>
    </row>
    <row r="15" spans="1:12" ht="15">
      <c r="A15" s="182">
        <v>12</v>
      </c>
      <c r="B15" s="183" t="s">
        <v>178</v>
      </c>
      <c r="C15" s="353">
        <v>192921.72930988306</v>
      </c>
      <c r="F15" s="146"/>
      <c r="G15" s="153" t="s">
        <v>23</v>
      </c>
      <c r="H15" s="148"/>
      <c r="I15" s="148"/>
      <c r="J15" s="154">
        <v>0.005</v>
      </c>
      <c r="K15" s="148"/>
      <c r="L15" s="149"/>
    </row>
    <row r="16" spans="1:12" ht="15">
      <c r="A16" s="182">
        <v>13</v>
      </c>
      <c r="B16" s="183" t="s">
        <v>179</v>
      </c>
      <c r="C16" s="353">
        <v>540182.3067583252</v>
      </c>
      <c r="F16" s="146"/>
      <c r="G16" s="153" t="s">
        <v>24</v>
      </c>
      <c r="H16" s="148"/>
      <c r="I16" s="148"/>
      <c r="J16" s="155">
        <v>20</v>
      </c>
      <c r="K16" s="148"/>
      <c r="L16" s="149"/>
    </row>
    <row r="17" spans="1:12" ht="15">
      <c r="A17" s="182">
        <v>14</v>
      </c>
      <c r="B17" s="183" t="s">
        <v>180</v>
      </c>
      <c r="C17" s="353">
        <v>2117323.119542898</v>
      </c>
      <c r="F17" s="146"/>
      <c r="G17" s="153" t="s">
        <v>26</v>
      </c>
      <c r="H17" s="148"/>
      <c r="I17" s="148"/>
      <c r="J17" s="155">
        <v>240</v>
      </c>
      <c r="K17" s="148"/>
      <c r="L17" s="149"/>
    </row>
    <row r="18" spans="1:12" ht="15">
      <c r="A18" s="182">
        <v>15</v>
      </c>
      <c r="B18" s="183" t="s">
        <v>181</v>
      </c>
      <c r="C18" s="353">
        <v>3024057.444335327</v>
      </c>
      <c r="F18" s="146"/>
      <c r="G18" s="153" t="s">
        <v>43</v>
      </c>
      <c r="H18" s="148"/>
      <c r="I18" s="148"/>
      <c r="J18" s="440">
        <f>C37</f>
        <v>55100168.36711008</v>
      </c>
      <c r="K18" s="148"/>
      <c r="L18" s="149"/>
    </row>
    <row r="19" spans="1:12" ht="15">
      <c r="A19" s="182">
        <v>16</v>
      </c>
      <c r="B19" s="183" t="s">
        <v>182</v>
      </c>
      <c r="C19" s="353">
        <v>160768.8401035622</v>
      </c>
      <c r="F19" s="146"/>
      <c r="G19" s="153"/>
      <c r="H19" s="148"/>
      <c r="I19" s="148"/>
      <c r="J19" s="157"/>
      <c r="K19" s="148"/>
      <c r="L19" s="149"/>
    </row>
    <row r="20" spans="1:12" ht="15">
      <c r="A20" s="182">
        <v>17</v>
      </c>
      <c r="B20" s="183" t="s">
        <v>183</v>
      </c>
      <c r="C20" s="353">
        <v>289383.3263101509</v>
      </c>
      <c r="F20" s="146"/>
      <c r="G20" s="153" t="s">
        <v>44</v>
      </c>
      <c r="H20" s="148"/>
      <c r="I20" s="148"/>
      <c r="J20" s="158">
        <f>PMT(J15,J17,J18)*-1</f>
        <v>394754.7194557377</v>
      </c>
      <c r="K20" s="148"/>
      <c r="L20" s="149"/>
    </row>
    <row r="21" spans="1:12" ht="15">
      <c r="A21" s="182">
        <v>18</v>
      </c>
      <c r="B21" s="183" t="s">
        <v>184</v>
      </c>
      <c r="C21" s="353">
        <v>120094.3806802964</v>
      </c>
      <c r="F21" s="146"/>
      <c r="G21" s="153" t="s">
        <v>45</v>
      </c>
      <c r="H21" s="148"/>
      <c r="I21" s="148"/>
      <c r="J21" s="158">
        <f>J20*12</f>
        <v>4737056.633468852</v>
      </c>
      <c r="K21" s="148"/>
      <c r="L21" s="149"/>
    </row>
    <row r="22" spans="1:12" ht="15">
      <c r="A22" s="182"/>
      <c r="B22" s="185" t="s">
        <v>113</v>
      </c>
      <c r="C22" s="353">
        <v>20640599.36898491</v>
      </c>
      <c r="F22" s="146"/>
      <c r="G22" s="159" t="s">
        <v>46</v>
      </c>
      <c r="H22" s="160"/>
      <c r="I22" s="160"/>
      <c r="J22" s="161">
        <f>J21*J16</f>
        <v>94741132.66937704</v>
      </c>
      <c r="K22" s="148"/>
      <c r="L22" s="149"/>
    </row>
    <row r="23" spans="6:12" ht="12.75">
      <c r="F23" s="146"/>
      <c r="G23" s="148"/>
      <c r="H23" s="148"/>
      <c r="I23" s="148"/>
      <c r="J23" s="148"/>
      <c r="K23" s="148"/>
      <c r="L23" s="149"/>
    </row>
    <row r="24" spans="1:12" ht="15.75" thickBot="1">
      <c r="A24" s="460" t="s">
        <v>185</v>
      </c>
      <c r="B24" s="460"/>
      <c r="C24" s="460"/>
      <c r="F24" s="146" t="s">
        <v>47</v>
      </c>
      <c r="G24" s="148"/>
      <c r="H24" s="148"/>
      <c r="I24" s="148"/>
      <c r="J24" s="148"/>
      <c r="K24" s="148"/>
      <c r="L24" s="149"/>
    </row>
    <row r="25" spans="1:12" ht="25.5" thickBot="1">
      <c r="A25" s="186" t="s">
        <v>2</v>
      </c>
      <c r="B25" s="181" t="s">
        <v>3</v>
      </c>
      <c r="C25" s="187" t="s">
        <v>4</v>
      </c>
      <c r="F25" s="338" t="s">
        <v>48</v>
      </c>
      <c r="G25" s="162" t="s">
        <v>49</v>
      </c>
      <c r="H25" s="162" t="s">
        <v>50</v>
      </c>
      <c r="I25" s="162" t="s">
        <v>51</v>
      </c>
      <c r="J25" s="162" t="s">
        <v>52</v>
      </c>
      <c r="K25" s="162" t="s">
        <v>53</v>
      </c>
      <c r="L25" s="163" t="s">
        <v>67</v>
      </c>
    </row>
    <row r="26" spans="1:12" ht="15.75" thickBot="1">
      <c r="A26" s="182">
        <v>1</v>
      </c>
      <c r="B26" s="183" t="s">
        <v>186</v>
      </c>
      <c r="C26" s="353">
        <v>321536.21551647177</v>
      </c>
      <c r="F26" s="335"/>
      <c r="G26" s="336"/>
      <c r="H26" s="164" t="s">
        <v>69</v>
      </c>
      <c r="I26" s="164" t="s">
        <v>70</v>
      </c>
      <c r="J26" s="164" t="s">
        <v>71</v>
      </c>
      <c r="K26" s="164" t="s">
        <v>72</v>
      </c>
      <c r="L26" s="165"/>
    </row>
    <row r="27" spans="1:12" ht="15">
      <c r="A27" s="182">
        <v>2</v>
      </c>
      <c r="B27" s="183" t="s">
        <v>11</v>
      </c>
      <c r="C27" s="353">
        <v>7224208.753861262</v>
      </c>
      <c r="F27" s="166" t="s">
        <v>54</v>
      </c>
      <c r="G27" s="167">
        <v>1</v>
      </c>
      <c r="H27" s="168">
        <f>PPMT($J$15,G27,$J$17,$J$18)*-1</f>
        <v>119253.8776201873</v>
      </c>
      <c r="I27" s="168">
        <f>J27-H27</f>
        <v>275500.8418355504</v>
      </c>
      <c r="J27" s="168">
        <f aca="true" t="shared" si="0" ref="J27:J38">$K$33</f>
        <v>394754.71945574397</v>
      </c>
      <c r="K27" s="168">
        <f>$J$18-H27</f>
        <v>54980914.48948989</v>
      </c>
      <c r="L27" s="170">
        <f>K27*(0.04/12)</f>
        <v>183269.71496496632</v>
      </c>
    </row>
    <row r="28" spans="1:12" ht="15">
      <c r="A28" s="182">
        <v>3</v>
      </c>
      <c r="B28" s="183" t="s">
        <v>12</v>
      </c>
      <c r="C28" s="353">
        <v>1032029.8219801803</v>
      </c>
      <c r="F28" s="171" t="s">
        <v>55</v>
      </c>
      <c r="G28" s="172">
        <v>2</v>
      </c>
      <c r="H28" s="168">
        <f aca="true" t="shared" si="1" ref="H28:H38">PPMT($K$28,G28,$K$30,$K$31)*-1</f>
        <v>119850.14700829453</v>
      </c>
      <c r="I28" s="168">
        <f aca="true" t="shared" si="2" ref="I28:I38">J28-H28</f>
        <v>274904.57244744943</v>
      </c>
      <c r="J28" s="168">
        <f t="shared" si="0"/>
        <v>394754.71945574397</v>
      </c>
      <c r="K28" s="168">
        <f aca="true" t="shared" si="3" ref="K28:K37">$J$18-H28</f>
        <v>54980914.48948989</v>
      </c>
      <c r="L28" s="170">
        <f aca="true" t="shared" si="4" ref="L28:L38">K28*(0.04/12)</f>
        <v>183267.7274003393</v>
      </c>
    </row>
    <row r="29" spans="1:12" ht="15">
      <c r="A29" s="182">
        <v>4</v>
      </c>
      <c r="B29" s="183" t="s">
        <v>13</v>
      </c>
      <c r="C29" s="353">
        <v>206405.67145790556</v>
      </c>
      <c r="F29" s="171" t="s">
        <v>56</v>
      </c>
      <c r="G29" s="172">
        <v>3</v>
      </c>
      <c r="H29" s="168">
        <f t="shared" si="1"/>
        <v>120449.39774333598</v>
      </c>
      <c r="I29" s="168">
        <f t="shared" si="2"/>
        <v>274305.321712408</v>
      </c>
      <c r="J29" s="168">
        <f t="shared" si="0"/>
        <v>394754.71945574397</v>
      </c>
      <c r="K29" s="168">
        <f t="shared" si="3"/>
        <v>54980914.48948989</v>
      </c>
      <c r="L29" s="170">
        <f t="shared" si="4"/>
        <v>183265.72989788916</v>
      </c>
    </row>
    <row r="30" spans="1:12" ht="15">
      <c r="A30" s="182">
        <v>5</v>
      </c>
      <c r="B30" s="183" t="s">
        <v>200</v>
      </c>
      <c r="C30" s="353">
        <v>25675390</v>
      </c>
      <c r="F30" s="171" t="s">
        <v>57</v>
      </c>
      <c r="G30" s="172">
        <v>4</v>
      </c>
      <c r="H30" s="168">
        <f t="shared" si="1"/>
        <v>121051.64473205263</v>
      </c>
      <c r="I30" s="168">
        <f t="shared" si="2"/>
        <v>273703.07472369133</v>
      </c>
      <c r="J30" s="168">
        <f t="shared" si="0"/>
        <v>394754.71945574397</v>
      </c>
      <c r="K30" s="168">
        <f t="shared" si="3"/>
        <v>54980914.48948989</v>
      </c>
      <c r="L30" s="170">
        <f t="shared" si="4"/>
        <v>183263.72240792678</v>
      </c>
    </row>
    <row r="31" spans="1:12" ht="15">
      <c r="A31" s="183"/>
      <c r="B31" s="185" t="s">
        <v>14</v>
      </c>
      <c r="C31" s="353">
        <v>34459570.46281582</v>
      </c>
      <c r="F31" s="171" t="s">
        <v>58</v>
      </c>
      <c r="G31" s="172">
        <v>5</v>
      </c>
      <c r="H31" s="168">
        <f t="shared" si="1"/>
        <v>121656.90295571287</v>
      </c>
      <c r="I31" s="168">
        <f t="shared" si="2"/>
        <v>273097.8165000311</v>
      </c>
      <c r="J31" s="168">
        <f t="shared" si="0"/>
        <v>394754.71945574397</v>
      </c>
      <c r="K31" s="168">
        <f t="shared" si="3"/>
        <v>54980914.48948989</v>
      </c>
      <c r="L31" s="170">
        <f t="shared" si="4"/>
        <v>183261.7048805146</v>
      </c>
    </row>
    <row r="32" spans="6:12" ht="12.75">
      <c r="F32" s="171" t="s">
        <v>59</v>
      </c>
      <c r="G32" s="172">
        <v>6</v>
      </c>
      <c r="H32" s="168">
        <f t="shared" si="1"/>
        <v>122265.1874704914</v>
      </c>
      <c r="I32" s="168">
        <f t="shared" si="2"/>
        <v>272489.5319852526</v>
      </c>
      <c r="J32" s="168">
        <f t="shared" si="0"/>
        <v>394754.71945574397</v>
      </c>
      <c r="K32" s="168">
        <f t="shared" si="3"/>
        <v>54980914.48948989</v>
      </c>
      <c r="L32" s="170">
        <f t="shared" si="4"/>
        <v>183259.67726546532</v>
      </c>
    </row>
    <row r="33" spans="1:12" ht="15.75" thickBot="1">
      <c r="A33" s="460" t="s">
        <v>188</v>
      </c>
      <c r="B33" s="460"/>
      <c r="C33" s="460"/>
      <c r="F33" s="171" t="s">
        <v>60</v>
      </c>
      <c r="G33" s="172">
        <v>7</v>
      </c>
      <c r="H33" s="168">
        <f t="shared" si="1"/>
        <v>122876.51340784389</v>
      </c>
      <c r="I33" s="168">
        <f t="shared" si="2"/>
        <v>271878.2060479001</v>
      </c>
      <c r="J33" s="168">
        <f t="shared" si="0"/>
        <v>394754.71945574397</v>
      </c>
      <c r="K33" s="168">
        <f t="shared" si="3"/>
        <v>54980914.48948989</v>
      </c>
      <c r="L33" s="170">
        <f t="shared" si="4"/>
        <v>183257.6395123408</v>
      </c>
    </row>
    <row r="34" spans="1:12" ht="15.75" thickBot="1">
      <c r="A34" s="186" t="s">
        <v>2</v>
      </c>
      <c r="B34" s="181" t="s">
        <v>3</v>
      </c>
      <c r="C34" s="181" t="s">
        <v>16</v>
      </c>
      <c r="F34" s="171" t="s">
        <v>61</v>
      </c>
      <c r="G34" s="172">
        <v>8</v>
      </c>
      <c r="H34" s="168">
        <f t="shared" si="1"/>
        <v>123490.89597488305</v>
      </c>
      <c r="I34" s="168">
        <f t="shared" si="2"/>
        <v>271263.8234808609</v>
      </c>
      <c r="J34" s="168">
        <f t="shared" si="0"/>
        <v>394754.71945574397</v>
      </c>
      <c r="K34" s="168">
        <f t="shared" si="3"/>
        <v>54980914.48948989</v>
      </c>
      <c r="L34" s="170">
        <f t="shared" si="4"/>
        <v>183255.59157045066</v>
      </c>
    </row>
    <row r="35" spans="1:12" ht="15">
      <c r="A35" s="182">
        <v>1</v>
      </c>
      <c r="B35" s="183" t="s">
        <v>18</v>
      </c>
      <c r="C35" s="273">
        <v>20640597.90429426</v>
      </c>
      <c r="F35" s="171" t="s">
        <v>62</v>
      </c>
      <c r="G35" s="172">
        <v>9</v>
      </c>
      <c r="H35" s="168">
        <f t="shared" si="1"/>
        <v>124108.35045475746</v>
      </c>
      <c r="I35" s="168">
        <f t="shared" si="2"/>
        <v>270646.3690009865</v>
      </c>
      <c r="J35" s="168">
        <f t="shared" si="0"/>
        <v>394754.71945574397</v>
      </c>
      <c r="K35" s="168">
        <f t="shared" si="3"/>
        <v>54980914.48948989</v>
      </c>
      <c r="L35" s="170">
        <f t="shared" si="4"/>
        <v>183253.5333888511</v>
      </c>
    </row>
    <row r="36" spans="1:12" ht="15">
      <c r="A36" s="182">
        <v>2</v>
      </c>
      <c r="B36" s="183" t="s">
        <v>78</v>
      </c>
      <c r="C36" s="273">
        <v>34459570.46281582</v>
      </c>
      <c r="F36" s="171" t="s">
        <v>63</v>
      </c>
      <c r="G36" s="172">
        <v>10</v>
      </c>
      <c r="H36" s="168">
        <f t="shared" si="1"/>
        <v>124728.8922070312</v>
      </c>
      <c r="I36" s="168">
        <f t="shared" si="2"/>
        <v>270025.82724871277</v>
      </c>
      <c r="J36" s="168">
        <f t="shared" si="0"/>
        <v>394754.71945574397</v>
      </c>
      <c r="K36" s="168">
        <f t="shared" si="3"/>
        <v>54980914.48948989</v>
      </c>
      <c r="L36" s="170">
        <f t="shared" si="4"/>
        <v>183251.4649163435</v>
      </c>
    </row>
    <row r="37" spans="1:12" ht="15">
      <c r="A37" s="182">
        <v>3</v>
      </c>
      <c r="B37" s="183" t="s">
        <v>20</v>
      </c>
      <c r="C37" s="273">
        <v>55100168.36711008</v>
      </c>
      <c r="F37" s="171" t="s">
        <v>64</v>
      </c>
      <c r="G37" s="172">
        <v>11</v>
      </c>
      <c r="H37" s="168">
        <f t="shared" si="1"/>
        <v>125352.5366680664</v>
      </c>
      <c r="I37" s="168">
        <f t="shared" si="2"/>
        <v>269402.18278767756</v>
      </c>
      <c r="J37" s="168">
        <f t="shared" si="0"/>
        <v>394754.71945574397</v>
      </c>
      <c r="K37" s="168">
        <f t="shared" si="3"/>
        <v>54980914.48948989</v>
      </c>
      <c r="L37" s="170">
        <f t="shared" si="4"/>
        <v>183249.38610147338</v>
      </c>
    </row>
    <row r="38" spans="1:12" ht="15">
      <c r="A38" s="182">
        <v>4</v>
      </c>
      <c r="B38" s="183" t="s">
        <v>21</v>
      </c>
      <c r="C38">
        <v>0.06</v>
      </c>
      <c r="F38" s="171" t="s">
        <v>65</v>
      </c>
      <c r="G38" s="172">
        <v>12</v>
      </c>
      <c r="H38" s="168">
        <f t="shared" si="1"/>
        <v>125979.29935140669</v>
      </c>
      <c r="I38" s="168">
        <f t="shared" si="2"/>
        <v>268775.4201043373</v>
      </c>
      <c r="J38" s="168">
        <f t="shared" si="0"/>
        <v>394754.71945574397</v>
      </c>
      <c r="K38" s="168">
        <f>$J$18-H38</f>
        <v>54980914.48948989</v>
      </c>
      <c r="L38" s="170">
        <f t="shared" si="4"/>
        <v>183247.29689252892</v>
      </c>
    </row>
    <row r="39" spans="1:12" ht="15">
      <c r="A39" s="182">
        <v>5</v>
      </c>
      <c r="B39" s="183" t="s">
        <v>23</v>
      </c>
      <c r="C39">
        <v>0.005</v>
      </c>
      <c r="F39" s="146"/>
      <c r="G39" s="148"/>
      <c r="H39" s="349"/>
      <c r="I39" s="148"/>
      <c r="J39" s="148"/>
      <c r="K39" s="148"/>
      <c r="L39" s="173"/>
    </row>
    <row r="40" spans="1:12" ht="15.75" thickBot="1">
      <c r="A40" s="182">
        <v>6</v>
      </c>
      <c r="B40" s="183" t="s">
        <v>24</v>
      </c>
      <c r="C40">
        <v>20</v>
      </c>
      <c r="F40" s="174" t="s">
        <v>66</v>
      </c>
      <c r="G40" s="347"/>
      <c r="H40" s="350"/>
      <c r="I40" s="348">
        <f>SUM(I27:I38)</f>
        <v>3265992.987874858</v>
      </c>
      <c r="J40" s="176">
        <f>SUM(J27:J38)</f>
        <v>4737056.633468929</v>
      </c>
      <c r="K40" s="176"/>
      <c r="L40" s="177">
        <f>SUM(L27:L38)</f>
        <v>2199103.18919909</v>
      </c>
    </row>
    <row r="41" spans="1:12" ht="15">
      <c r="A41" s="182">
        <v>7</v>
      </c>
      <c r="B41" s="183" t="s">
        <v>26</v>
      </c>
      <c r="C41">
        <v>240</v>
      </c>
      <c r="F41" s="178"/>
      <c r="G41" s="178"/>
      <c r="H41" s="178"/>
      <c r="I41" s="178"/>
      <c r="J41" s="178"/>
      <c r="K41" s="178"/>
      <c r="L41" s="178"/>
    </row>
    <row r="42" spans="1:12" ht="15">
      <c r="A42" s="182">
        <v>8</v>
      </c>
      <c r="B42" s="183" t="s">
        <v>27</v>
      </c>
      <c r="C42" s="273">
        <v>394754.71945574397</v>
      </c>
      <c r="F42" s="179" t="s">
        <v>68</v>
      </c>
      <c r="G42" s="178"/>
      <c r="H42" s="178"/>
      <c r="I42" s="178"/>
      <c r="J42" s="178"/>
      <c r="K42" s="178"/>
      <c r="L42" s="442">
        <f>J18+I40-L40</f>
        <v>56167058.16578585</v>
      </c>
    </row>
    <row r="43" spans="1:3" ht="15">
      <c r="A43" s="182">
        <v>9</v>
      </c>
      <c r="B43" s="183" t="s">
        <v>28</v>
      </c>
      <c r="C43" s="273">
        <v>4737056.633468927</v>
      </c>
    </row>
    <row r="44" spans="1:3" ht="15">
      <c r="A44" s="182">
        <v>10</v>
      </c>
      <c r="B44" s="188" t="s">
        <v>29</v>
      </c>
      <c r="C44" s="273">
        <v>2199103.18919909</v>
      </c>
    </row>
    <row r="46" spans="1:3" ht="15">
      <c r="A46" s="458" t="s">
        <v>189</v>
      </c>
      <c r="B46" s="458"/>
      <c r="C46" s="458"/>
    </row>
    <row r="47" spans="1:3" ht="15.75" thickBot="1">
      <c r="A47" s="186" t="s">
        <v>2</v>
      </c>
      <c r="B47" s="181" t="s">
        <v>3</v>
      </c>
      <c r="C47" s="181" t="s">
        <v>16</v>
      </c>
    </row>
    <row r="48" spans="1:2" ht="15">
      <c r="A48" s="182"/>
      <c r="B48" s="183" t="s">
        <v>31</v>
      </c>
    </row>
    <row r="49" spans="1:2" ht="15">
      <c r="A49" s="182"/>
      <c r="B49" s="188"/>
    </row>
    <row r="50" spans="1:3" ht="15">
      <c r="A50" s="182">
        <v>1</v>
      </c>
      <c r="B50" s="188" t="s">
        <v>190</v>
      </c>
      <c r="C50" s="273">
        <v>5773738.782787251</v>
      </c>
    </row>
    <row r="51" spans="1:3" ht="15">
      <c r="A51" s="182">
        <v>2</v>
      </c>
      <c r="B51" s="188" t="s">
        <v>191</v>
      </c>
      <c r="C51" s="273">
        <v>1283052.9000982055</v>
      </c>
    </row>
    <row r="52" spans="1:3" ht="15.75" thickBot="1">
      <c r="A52" s="181"/>
      <c r="B52" s="190" t="s">
        <v>32</v>
      </c>
      <c r="C52" s="273">
        <v>7056791.682885457</v>
      </c>
    </row>
    <row r="53" spans="1:2" ht="15">
      <c r="A53" s="182"/>
      <c r="B53" s="183" t="s">
        <v>33</v>
      </c>
    </row>
    <row r="54" spans="1:3" ht="15">
      <c r="A54" s="182">
        <v>3</v>
      </c>
      <c r="B54" s="188" t="s">
        <v>34</v>
      </c>
      <c r="C54">
        <v>14.646906526203018</v>
      </c>
    </row>
    <row r="55" spans="1:3" ht="15">
      <c r="A55" s="182">
        <v>4</v>
      </c>
      <c r="B55" s="188" t="s">
        <v>35</v>
      </c>
      <c r="C55">
        <v>5346120.882064101</v>
      </c>
    </row>
    <row r="56" spans="1:3" ht="15.75" thickBot="1">
      <c r="A56" s="181">
        <v>5</v>
      </c>
      <c r="B56" s="191" t="s">
        <v>36</v>
      </c>
      <c r="C56">
        <v>16406</v>
      </c>
    </row>
    <row r="57" spans="1:2" ht="15">
      <c r="A57" s="182"/>
      <c r="B57" s="183" t="s">
        <v>37</v>
      </c>
    </row>
    <row r="58" spans="1:3" ht="15">
      <c r="A58" s="182">
        <v>6</v>
      </c>
      <c r="B58" s="188" t="s">
        <v>38</v>
      </c>
      <c r="C58" s="351">
        <v>1.3199835616438358</v>
      </c>
    </row>
    <row r="59" spans="1:3" ht="15">
      <c r="A59" s="182">
        <v>7</v>
      </c>
      <c r="B59" s="188" t="s">
        <v>39</v>
      </c>
      <c r="C59" s="351">
        <v>430.13480939201855</v>
      </c>
    </row>
  </sheetData>
  <sheetProtection/>
  <mergeCells count="5">
    <mergeCell ref="A46:C46"/>
    <mergeCell ref="A1:C1"/>
    <mergeCell ref="A2:C2"/>
    <mergeCell ref="A24:C24"/>
    <mergeCell ref="A33:C3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C2"/>
    </sheetView>
  </sheetViews>
  <sheetFormatPr defaultColWidth="9.140625" defaultRowHeight="12.75"/>
  <cols>
    <col min="1" max="1" width="4.8515625" style="0" bestFit="1" customWidth="1"/>
    <col min="2" max="2" width="47.00390625" style="0" bestFit="1" customWidth="1"/>
    <col min="3" max="3" width="13.28125" style="0" bestFit="1" customWidth="1"/>
    <col min="8" max="9" width="10.140625" style="0" bestFit="1" customWidth="1"/>
    <col min="10" max="10" width="12.28125" style="0" bestFit="1" customWidth="1"/>
    <col min="11" max="11" width="12.00390625" style="0" bestFit="1" customWidth="1"/>
    <col min="12" max="12" width="14.00390625" style="0" bestFit="1" customWidth="1"/>
  </cols>
  <sheetData>
    <row r="1" ht="12.75">
      <c r="B1" t="s">
        <v>250</v>
      </c>
    </row>
    <row r="2" spans="1:3" ht="15">
      <c r="A2" s="458" t="s">
        <v>166</v>
      </c>
      <c r="B2" s="458"/>
      <c r="C2" s="458"/>
    </row>
    <row r="3" spans="1:3" ht="15.75" thickBot="1">
      <c r="A3" s="186" t="s">
        <v>2</v>
      </c>
      <c r="B3" s="284" t="s">
        <v>3</v>
      </c>
      <c r="C3" s="181" t="s">
        <v>4</v>
      </c>
    </row>
    <row r="4" spans="1:3" ht="15">
      <c r="A4" s="182">
        <v>1</v>
      </c>
      <c r="B4" s="183" t="s">
        <v>167</v>
      </c>
      <c r="C4" s="428">
        <v>183091.44013927327</v>
      </c>
    </row>
    <row r="5" spans="1:3" ht="15">
      <c r="A5" s="182">
        <v>2</v>
      </c>
      <c r="B5" s="183" t="s">
        <v>168</v>
      </c>
      <c r="C5" s="428">
        <v>274637.3687170788</v>
      </c>
    </row>
    <row r="6" spans="1:3" ht="15">
      <c r="A6" s="182">
        <v>3</v>
      </c>
      <c r="B6" s="183" t="s">
        <v>169</v>
      </c>
      <c r="C6" s="428">
        <v>411956.26158378716</v>
      </c>
    </row>
    <row r="7" spans="1:3" ht="15">
      <c r="A7" s="182">
        <v>4</v>
      </c>
      <c r="B7" s="183" t="s">
        <v>170</v>
      </c>
      <c r="C7" s="428">
        <v>251751.09508079637</v>
      </c>
    </row>
    <row r="8" spans="1:3" ht="15">
      <c r="A8" s="182">
        <v>5</v>
      </c>
      <c r="B8" s="183" t="s">
        <v>171</v>
      </c>
      <c r="C8" s="428">
        <v>1007003.5462905098</v>
      </c>
    </row>
    <row r="9" spans="1:3" ht="15">
      <c r="A9" s="182">
        <v>6</v>
      </c>
      <c r="B9" s="183" t="s">
        <v>172</v>
      </c>
      <c r="C9" s="428">
        <v>961230.9990179448</v>
      </c>
    </row>
    <row r="10" spans="1:3" ht="15">
      <c r="A10" s="182">
        <v>7</v>
      </c>
      <c r="B10" s="183" t="s">
        <v>173</v>
      </c>
      <c r="C10" s="428">
        <v>164782.33782697972</v>
      </c>
    </row>
    <row r="11" spans="1:3" ht="15">
      <c r="A11" s="182">
        <v>8</v>
      </c>
      <c r="B11" s="183" t="s">
        <v>174</v>
      </c>
      <c r="C11" s="428">
        <v>192246.19980358897</v>
      </c>
    </row>
    <row r="12" spans="1:3" ht="15.75" thickBot="1">
      <c r="A12" s="182">
        <v>9</v>
      </c>
      <c r="B12" s="183" t="s">
        <v>175</v>
      </c>
      <c r="C12" s="428">
        <v>128164.13320239264</v>
      </c>
    </row>
    <row r="13" spans="1:12" ht="15">
      <c r="A13" s="182">
        <v>10</v>
      </c>
      <c r="B13" s="183" t="s">
        <v>176</v>
      </c>
      <c r="C13" s="428">
        <v>77813.99758950094</v>
      </c>
      <c r="F13" s="337" t="s">
        <v>41</v>
      </c>
      <c r="G13" s="339"/>
      <c r="H13" s="339"/>
      <c r="I13" s="339"/>
      <c r="J13" s="339"/>
      <c r="K13" s="339"/>
      <c r="L13" s="340"/>
    </row>
    <row r="14" spans="1:12" ht="15">
      <c r="A14" s="182">
        <v>11</v>
      </c>
      <c r="B14" s="183" t="s">
        <v>177</v>
      </c>
      <c r="C14" s="428">
        <v>389069.5709311669</v>
      </c>
      <c r="F14" s="143"/>
      <c r="G14" s="144"/>
      <c r="H14" s="144"/>
      <c r="I14" s="144"/>
      <c r="J14" s="144"/>
      <c r="K14" s="144"/>
      <c r="L14" s="145"/>
    </row>
    <row r="15" spans="1:12" ht="15">
      <c r="A15" s="182">
        <v>12</v>
      </c>
      <c r="B15" s="183" t="s">
        <v>178</v>
      </c>
      <c r="C15" s="428">
        <v>54927.30693688064</v>
      </c>
      <c r="F15" s="146"/>
      <c r="G15" s="147" t="s">
        <v>42</v>
      </c>
      <c r="H15" s="148"/>
      <c r="I15" s="148"/>
      <c r="J15" s="148"/>
      <c r="K15" s="148"/>
      <c r="L15" s="149"/>
    </row>
    <row r="16" spans="1:12" ht="15">
      <c r="A16" s="182">
        <v>13</v>
      </c>
      <c r="B16" s="183" t="s">
        <v>179</v>
      </c>
      <c r="C16" s="428">
        <v>153796.8764396036</v>
      </c>
      <c r="F16" s="146"/>
      <c r="G16" s="150" t="s">
        <v>21</v>
      </c>
      <c r="H16" s="151"/>
      <c r="I16" s="151"/>
      <c r="J16" s="152">
        <v>0.06</v>
      </c>
      <c r="K16" s="148"/>
      <c r="L16" s="149"/>
    </row>
    <row r="17" spans="1:12" ht="15">
      <c r="A17" s="182">
        <v>14</v>
      </c>
      <c r="B17" s="183" t="s">
        <v>180</v>
      </c>
      <c r="C17" s="428">
        <v>602829.2265869118</v>
      </c>
      <c r="F17" s="146"/>
      <c r="G17" s="153" t="s">
        <v>23</v>
      </c>
      <c r="H17" s="148"/>
      <c r="I17" s="148"/>
      <c r="J17" s="154">
        <v>0.005</v>
      </c>
      <c r="K17" s="148"/>
      <c r="L17" s="149"/>
    </row>
    <row r="18" spans="1:12" ht="15">
      <c r="A18" s="182">
        <v>15</v>
      </c>
      <c r="B18" s="183" t="s">
        <v>181</v>
      </c>
      <c r="C18" s="428">
        <v>860988.1947147576</v>
      </c>
      <c r="F18" s="146"/>
      <c r="G18" s="153" t="s">
        <v>24</v>
      </c>
      <c r="H18" s="148"/>
      <c r="I18" s="148"/>
      <c r="J18" s="155">
        <v>20</v>
      </c>
      <c r="K18" s="148"/>
      <c r="L18" s="149"/>
    </row>
    <row r="19" spans="1:12" ht="15">
      <c r="A19" s="182">
        <v>16</v>
      </c>
      <c r="B19" s="183" t="s">
        <v>182</v>
      </c>
      <c r="C19" s="428">
        <v>45772.964288902775</v>
      </c>
      <c r="F19" s="146"/>
      <c r="G19" s="153" t="s">
        <v>26</v>
      </c>
      <c r="H19" s="148"/>
      <c r="I19" s="148"/>
      <c r="J19" s="155">
        <v>240</v>
      </c>
      <c r="K19" s="148"/>
      <c r="L19" s="149"/>
    </row>
    <row r="20" spans="1:12" ht="15">
      <c r="A20" s="182">
        <v>17</v>
      </c>
      <c r="B20" s="183" t="s">
        <v>183</v>
      </c>
      <c r="C20" s="428">
        <v>82391.16891348986</v>
      </c>
      <c r="F20" s="146"/>
      <c r="G20" s="153" t="s">
        <v>43</v>
      </c>
      <c r="H20" s="148"/>
      <c r="I20" s="148"/>
      <c r="J20" s="156">
        <f>C37</f>
        <v>15954945.239336345</v>
      </c>
      <c r="K20" s="148"/>
      <c r="L20" s="149"/>
    </row>
    <row r="21" spans="1:12" ht="15">
      <c r="A21" s="182">
        <v>18</v>
      </c>
      <c r="B21" s="183" t="s">
        <v>184</v>
      </c>
      <c r="C21" s="428">
        <v>34192.42058744755</v>
      </c>
      <c r="F21" s="146"/>
      <c r="G21" s="153"/>
      <c r="H21" s="148"/>
      <c r="I21" s="148"/>
      <c r="J21" s="157"/>
      <c r="K21" s="148"/>
      <c r="L21" s="149"/>
    </row>
    <row r="22" spans="1:12" ht="15">
      <c r="A22" s="182"/>
      <c r="B22" s="185" t="s">
        <v>113</v>
      </c>
      <c r="C22" s="429">
        <v>5876645.108651013</v>
      </c>
      <c r="F22" s="146"/>
      <c r="G22" s="153" t="s">
        <v>44</v>
      </c>
      <c r="H22" s="148"/>
      <c r="I22" s="148"/>
      <c r="J22" s="158">
        <f>PMT(J17,J19,J20)*-1</f>
        <v>114306.18305778895</v>
      </c>
      <c r="K22" s="148"/>
      <c r="L22" s="149"/>
    </row>
    <row r="23" spans="6:12" ht="12.75">
      <c r="F23" s="146"/>
      <c r="G23" s="153" t="s">
        <v>45</v>
      </c>
      <c r="H23" s="148"/>
      <c r="I23" s="148"/>
      <c r="J23" s="158">
        <f>J22*12</f>
        <v>1371674.1966934674</v>
      </c>
      <c r="K23" s="148"/>
      <c r="L23" s="149"/>
    </row>
    <row r="24" spans="1:12" ht="15.75" thickBot="1">
      <c r="A24" s="460" t="s">
        <v>185</v>
      </c>
      <c r="B24" s="460"/>
      <c r="F24" s="146"/>
      <c r="G24" s="159" t="s">
        <v>46</v>
      </c>
      <c r="H24" s="160"/>
      <c r="I24" s="160"/>
      <c r="J24" s="161">
        <f>J23*J18</f>
        <v>27433483.933869347</v>
      </c>
      <c r="K24" s="148"/>
      <c r="L24" s="149"/>
    </row>
    <row r="25" spans="1:12" ht="15.75" thickBot="1">
      <c r="A25" s="186" t="s">
        <v>2</v>
      </c>
      <c r="B25" s="181" t="s">
        <v>3</v>
      </c>
      <c r="F25" s="146"/>
      <c r="G25" s="148"/>
      <c r="H25" s="148"/>
      <c r="I25" s="148"/>
      <c r="J25" s="148"/>
      <c r="K25" s="148"/>
      <c r="L25" s="149"/>
    </row>
    <row r="26" spans="1:12" ht="15">
      <c r="A26" s="182">
        <v>1</v>
      </c>
      <c r="B26" s="183" t="s">
        <v>186</v>
      </c>
      <c r="C26" s="428">
        <v>91545.51156146772</v>
      </c>
      <c r="F26" s="146" t="s">
        <v>47</v>
      </c>
      <c r="G26" s="148"/>
      <c r="H26" s="148"/>
      <c r="I26" s="148"/>
      <c r="J26" s="148"/>
      <c r="K26" s="148"/>
      <c r="L26" s="149"/>
    </row>
    <row r="27" spans="1:12" ht="24.75">
      <c r="A27" s="182">
        <v>2</v>
      </c>
      <c r="B27" s="183" t="s">
        <v>11</v>
      </c>
      <c r="C27" s="273">
        <v>6862451.351685565</v>
      </c>
      <c r="F27" s="338" t="s">
        <v>48</v>
      </c>
      <c r="G27" s="162" t="s">
        <v>49</v>
      </c>
      <c r="H27" s="162" t="s">
        <v>50</v>
      </c>
      <c r="I27" s="162" t="s">
        <v>51</v>
      </c>
      <c r="J27" s="162" t="s">
        <v>52</v>
      </c>
      <c r="K27" s="162" t="s">
        <v>53</v>
      </c>
      <c r="L27" s="163" t="s">
        <v>67</v>
      </c>
    </row>
    <row r="28" spans="1:12" ht="15.75" thickBot="1">
      <c r="A28" s="182">
        <v>3</v>
      </c>
      <c r="B28" s="183" t="s">
        <v>12</v>
      </c>
      <c r="C28" s="273">
        <v>980350.1930979376</v>
      </c>
      <c r="F28" s="335"/>
      <c r="G28" s="336"/>
      <c r="H28" s="164" t="s">
        <v>69</v>
      </c>
      <c r="I28" s="164" t="s">
        <v>70</v>
      </c>
      <c r="J28" s="164" t="s">
        <v>71</v>
      </c>
      <c r="K28" s="164" t="s">
        <v>72</v>
      </c>
      <c r="L28" s="165"/>
    </row>
    <row r="29" spans="1:12" ht="15">
      <c r="A29" s="182">
        <v>4</v>
      </c>
      <c r="B29" s="183" t="s">
        <v>13</v>
      </c>
      <c r="C29" s="273">
        <v>196069.76035054267</v>
      </c>
      <c r="F29" s="166" t="s">
        <v>54</v>
      </c>
      <c r="G29" s="167">
        <v>1</v>
      </c>
      <c r="H29" s="168">
        <f>PPMT($J$17,G29,$J$19,$J$20)*-1</f>
        <v>34531.45686110722</v>
      </c>
      <c r="I29" s="168">
        <f>J29-H29</f>
        <v>79774.72619668173</v>
      </c>
      <c r="J29" s="168">
        <f>$J$22</f>
        <v>114306.18305778895</v>
      </c>
      <c r="K29" s="169">
        <f>$J$20-H29</f>
        <v>15920413.782475239</v>
      </c>
      <c r="L29" s="170">
        <f>K29*(0.04/12)</f>
        <v>53068.04594158413</v>
      </c>
    </row>
    <row r="30" spans="1:12" ht="15">
      <c r="A30" s="182">
        <v>5</v>
      </c>
      <c r="B30" s="183" t="s">
        <v>199</v>
      </c>
      <c r="C30" s="428">
        <v>1947883.3139898223</v>
      </c>
      <c r="F30" s="171" t="s">
        <v>55</v>
      </c>
      <c r="G30" s="172">
        <v>2</v>
      </c>
      <c r="H30" s="168">
        <f aca="true" t="shared" si="0" ref="H30:H40">PPMT($J$17,G30,$J$19,$J$20)*-1</f>
        <v>34704.11414541276</v>
      </c>
      <c r="I30" s="168">
        <f aca="true" t="shared" si="1" ref="I30:I40">J30-H30</f>
        <v>79602.06891237618</v>
      </c>
      <c r="J30" s="168">
        <f aca="true" t="shared" si="2" ref="J30:J40">$J$22</f>
        <v>114306.18305778895</v>
      </c>
      <c r="K30" s="169">
        <f aca="true" t="shared" si="3" ref="K30:K40">$J$20-H30</f>
        <v>15920241.125190932</v>
      </c>
      <c r="L30" s="170">
        <f aca="true" t="shared" si="4" ref="L30:L40">K30*(0.04/12)</f>
        <v>53067.47041730311</v>
      </c>
    </row>
    <row r="31" spans="1:12" ht="15">
      <c r="A31" s="183"/>
      <c r="B31" s="185" t="s">
        <v>14</v>
      </c>
      <c r="C31" s="273">
        <v>10078300.1306853</v>
      </c>
      <c r="F31" s="171" t="s">
        <v>56</v>
      </c>
      <c r="G31" s="172">
        <v>3</v>
      </c>
      <c r="H31" s="168">
        <f t="shared" si="0"/>
        <v>34877.634716139815</v>
      </c>
      <c r="I31" s="168">
        <f t="shared" si="1"/>
        <v>79428.54834164913</v>
      </c>
      <c r="J31" s="168">
        <f t="shared" si="2"/>
        <v>114306.18305778895</v>
      </c>
      <c r="K31" s="169">
        <f t="shared" si="3"/>
        <v>15920067.604620205</v>
      </c>
      <c r="L31" s="170">
        <f t="shared" si="4"/>
        <v>53066.892015400685</v>
      </c>
    </row>
    <row r="32" spans="6:12" ht="12.75">
      <c r="F32" s="171" t="s">
        <v>57</v>
      </c>
      <c r="G32" s="172">
        <v>4</v>
      </c>
      <c r="H32" s="168">
        <f t="shared" si="0"/>
        <v>35052.022889720516</v>
      </c>
      <c r="I32" s="168">
        <f t="shared" si="1"/>
        <v>79254.16016806843</v>
      </c>
      <c r="J32" s="168">
        <f t="shared" si="2"/>
        <v>114306.18305778895</v>
      </c>
      <c r="K32" s="169">
        <f t="shared" si="3"/>
        <v>15919893.216446625</v>
      </c>
      <c r="L32" s="170">
        <f t="shared" si="4"/>
        <v>53066.31072148876</v>
      </c>
    </row>
    <row r="33" spans="1:12" ht="15.75" thickBot="1">
      <c r="A33" s="460" t="s">
        <v>188</v>
      </c>
      <c r="B33" s="460"/>
      <c r="C33" s="460"/>
      <c r="F33" s="171" t="s">
        <v>58</v>
      </c>
      <c r="G33" s="172">
        <v>5</v>
      </c>
      <c r="H33" s="168">
        <f t="shared" si="0"/>
        <v>35227.28300416912</v>
      </c>
      <c r="I33" s="168">
        <f t="shared" si="1"/>
        <v>79078.90005361983</v>
      </c>
      <c r="J33" s="168">
        <f t="shared" si="2"/>
        <v>114306.18305778895</v>
      </c>
      <c r="K33" s="169">
        <f t="shared" si="3"/>
        <v>15919717.956332177</v>
      </c>
      <c r="L33" s="170">
        <f t="shared" si="4"/>
        <v>53065.72652110726</v>
      </c>
    </row>
    <row r="34" spans="1:12" ht="15.75" thickBot="1">
      <c r="A34" s="186" t="s">
        <v>2</v>
      </c>
      <c r="B34" s="181" t="s">
        <v>3</v>
      </c>
      <c r="C34" s="181" t="s">
        <v>17</v>
      </c>
      <c r="F34" s="171" t="s">
        <v>59</v>
      </c>
      <c r="G34" s="172">
        <v>6</v>
      </c>
      <c r="H34" s="168">
        <f t="shared" si="0"/>
        <v>35403.41941918997</v>
      </c>
      <c r="I34" s="168">
        <f t="shared" si="1"/>
        <v>78902.76363859898</v>
      </c>
      <c r="J34" s="168">
        <f t="shared" si="2"/>
        <v>114306.18305778895</v>
      </c>
      <c r="K34" s="169">
        <f t="shared" si="3"/>
        <v>15919541.819917155</v>
      </c>
      <c r="L34" s="170">
        <f t="shared" si="4"/>
        <v>53065.139399723856</v>
      </c>
    </row>
    <row r="35" spans="1:12" ht="15">
      <c r="A35" s="182">
        <v>1</v>
      </c>
      <c r="B35" s="183" t="s">
        <v>18</v>
      </c>
      <c r="C35" s="427">
        <v>5876645.108651013</v>
      </c>
      <c r="F35" s="171" t="s">
        <v>60</v>
      </c>
      <c r="G35" s="172">
        <v>7</v>
      </c>
      <c r="H35" s="168">
        <f t="shared" si="0"/>
        <v>35580.43651628592</v>
      </c>
      <c r="I35" s="168">
        <f t="shared" si="1"/>
        <v>78725.74654150303</v>
      </c>
      <c r="J35" s="168">
        <f t="shared" si="2"/>
        <v>114306.18305778895</v>
      </c>
      <c r="K35" s="169">
        <f t="shared" si="3"/>
        <v>15919364.802820059</v>
      </c>
      <c r="L35" s="170">
        <f t="shared" si="4"/>
        <v>53064.54934273353</v>
      </c>
    </row>
    <row r="36" spans="1:12" ht="15">
      <c r="A36" s="182">
        <v>2</v>
      </c>
      <c r="B36" s="183" t="s">
        <v>78</v>
      </c>
      <c r="C36" s="427">
        <v>10078300.130685333</v>
      </c>
      <c r="F36" s="171" t="s">
        <v>61</v>
      </c>
      <c r="G36" s="172">
        <v>8</v>
      </c>
      <c r="H36" s="168">
        <f t="shared" si="0"/>
        <v>35758.33869886735</v>
      </c>
      <c r="I36" s="168">
        <f t="shared" si="1"/>
        <v>78547.8443589216</v>
      </c>
      <c r="J36" s="168">
        <f t="shared" si="2"/>
        <v>114306.18305778895</v>
      </c>
      <c r="K36" s="169">
        <f t="shared" si="3"/>
        <v>15919186.900637478</v>
      </c>
      <c r="L36" s="170">
        <f t="shared" si="4"/>
        <v>53063.956335458264</v>
      </c>
    </row>
    <row r="37" spans="1:12" ht="15">
      <c r="A37" s="182">
        <v>3</v>
      </c>
      <c r="B37" s="183" t="s">
        <v>20</v>
      </c>
      <c r="C37" s="427">
        <v>15954945.239336345</v>
      </c>
      <c r="F37" s="171" t="s">
        <v>62</v>
      </c>
      <c r="G37" s="172">
        <v>9</v>
      </c>
      <c r="H37" s="168">
        <f t="shared" si="0"/>
        <v>35937.13039236169</v>
      </c>
      <c r="I37" s="168">
        <f t="shared" si="1"/>
        <v>78369.05266542727</v>
      </c>
      <c r="J37" s="168">
        <f t="shared" si="2"/>
        <v>114306.18305778895</v>
      </c>
      <c r="K37" s="169">
        <f t="shared" si="3"/>
        <v>15919008.108943984</v>
      </c>
      <c r="L37" s="170">
        <f t="shared" si="4"/>
        <v>53063.36036314662</v>
      </c>
    </row>
    <row r="38" spans="1:12" ht="15">
      <c r="A38" s="182">
        <v>4</v>
      </c>
      <c r="B38" s="183" t="s">
        <v>21</v>
      </c>
      <c r="C38" s="182">
        <v>0.06</v>
      </c>
      <c r="F38" s="171" t="s">
        <v>63</v>
      </c>
      <c r="G38" s="172">
        <v>10</v>
      </c>
      <c r="H38" s="168">
        <f t="shared" si="0"/>
        <v>36116.81604432349</v>
      </c>
      <c r="I38" s="168">
        <f t="shared" si="1"/>
        <v>78189.36701346547</v>
      </c>
      <c r="J38" s="168">
        <f t="shared" si="2"/>
        <v>114306.18305778895</v>
      </c>
      <c r="K38" s="169">
        <f t="shared" si="3"/>
        <v>15918828.423292022</v>
      </c>
      <c r="L38" s="170">
        <f t="shared" si="4"/>
        <v>53062.76141097341</v>
      </c>
    </row>
    <row r="39" spans="1:12" ht="15">
      <c r="A39" s="182">
        <v>5</v>
      </c>
      <c r="B39" s="183" t="s">
        <v>23</v>
      </c>
      <c r="C39" s="182">
        <v>0.005</v>
      </c>
      <c r="F39" s="171" t="s">
        <v>64</v>
      </c>
      <c r="G39" s="172">
        <v>11</v>
      </c>
      <c r="H39" s="168">
        <f t="shared" si="0"/>
        <v>36297.40012454511</v>
      </c>
      <c r="I39" s="168">
        <f t="shared" si="1"/>
        <v>78008.78293324384</v>
      </c>
      <c r="J39" s="168">
        <f t="shared" si="2"/>
        <v>114306.18305778895</v>
      </c>
      <c r="K39" s="169">
        <f t="shared" si="3"/>
        <v>15918647.839211801</v>
      </c>
      <c r="L39" s="170">
        <f t="shared" si="4"/>
        <v>53062.15946403934</v>
      </c>
    </row>
    <row r="40" spans="1:12" ht="15">
      <c r="A40" s="182">
        <v>6</v>
      </c>
      <c r="B40" s="183" t="s">
        <v>24</v>
      </c>
      <c r="C40" s="182">
        <v>20</v>
      </c>
      <c r="F40" s="171" t="s">
        <v>65</v>
      </c>
      <c r="G40" s="172">
        <v>12</v>
      </c>
      <c r="H40" s="168">
        <f t="shared" si="0"/>
        <v>36478.88712516783</v>
      </c>
      <c r="I40" s="168">
        <f t="shared" si="1"/>
        <v>77827.29593262111</v>
      </c>
      <c r="J40" s="168">
        <f t="shared" si="2"/>
        <v>114306.18305778895</v>
      </c>
      <c r="K40" s="169">
        <f t="shared" si="3"/>
        <v>15918466.352211177</v>
      </c>
      <c r="L40" s="170">
        <f t="shared" si="4"/>
        <v>53061.554507370594</v>
      </c>
    </row>
    <row r="41" spans="1:12" ht="15">
      <c r="A41" s="182">
        <v>7</v>
      </c>
      <c r="B41" s="183" t="s">
        <v>26</v>
      </c>
      <c r="C41" s="182">
        <v>240</v>
      </c>
      <c r="F41" s="146"/>
      <c r="G41" s="148"/>
      <c r="H41" s="349"/>
      <c r="I41" s="148"/>
      <c r="J41" s="148"/>
      <c r="K41" s="148"/>
      <c r="L41" s="173"/>
    </row>
    <row r="42" spans="1:12" ht="15.75" thickBot="1">
      <c r="A42" s="182">
        <v>8</v>
      </c>
      <c r="B42" s="183" t="s">
        <v>27</v>
      </c>
      <c r="C42" s="427">
        <v>114306.18305779075</v>
      </c>
      <c r="F42" s="174" t="s">
        <v>66</v>
      </c>
      <c r="G42" s="347"/>
      <c r="H42" s="350"/>
      <c r="I42" s="348">
        <f>SUM(I29:I40)</f>
        <v>945709.2567561766</v>
      </c>
      <c r="J42" s="176">
        <f>SUM(J29:J40)</f>
        <v>1371674.1966934677</v>
      </c>
      <c r="K42" s="176"/>
      <c r="L42" s="177">
        <f>SUM(L29:L40)</f>
        <v>636777.9264403296</v>
      </c>
    </row>
    <row r="43" spans="1:12" ht="15">
      <c r="A43" s="182">
        <v>9</v>
      </c>
      <c r="B43" s="183" t="s">
        <v>28</v>
      </c>
      <c r="C43" s="427">
        <v>1371674.196693489</v>
      </c>
      <c r="F43" s="178"/>
      <c r="G43" s="178"/>
      <c r="H43" s="178"/>
      <c r="I43" s="178"/>
      <c r="J43" s="178"/>
      <c r="K43" s="178"/>
      <c r="L43" s="178"/>
    </row>
    <row r="44" spans="1:12" ht="15">
      <c r="A44" s="182">
        <v>10</v>
      </c>
      <c r="B44" s="188" t="s">
        <v>29</v>
      </c>
      <c r="C44" s="427">
        <v>636777.9264403295</v>
      </c>
      <c r="F44" s="179" t="s">
        <v>68</v>
      </c>
      <c r="G44" s="178"/>
      <c r="H44" s="178"/>
      <c r="I44" s="178"/>
      <c r="J44" s="178"/>
      <c r="K44" s="178"/>
      <c r="L44" s="180">
        <f>J20+I42-L42</f>
        <v>16263876.56965219</v>
      </c>
    </row>
    <row r="47" spans="1:2" ht="15">
      <c r="A47" s="458" t="s">
        <v>189</v>
      </c>
      <c r="B47" s="458"/>
    </row>
    <row r="48" spans="1:2" ht="15.75" thickBot="1">
      <c r="A48" s="186" t="s">
        <v>2</v>
      </c>
      <c r="B48" s="181" t="s">
        <v>3</v>
      </c>
    </row>
    <row r="49" spans="1:2" ht="15">
      <c r="A49" s="182"/>
      <c r="B49" s="183" t="s">
        <v>31</v>
      </c>
    </row>
    <row r="50" spans="1:2" ht="15">
      <c r="A50" s="182"/>
      <c r="B50" s="188"/>
    </row>
    <row r="51" spans="1:3" ht="15">
      <c r="A51" s="182">
        <v>1</v>
      </c>
      <c r="B51" s="188" t="s">
        <v>190</v>
      </c>
      <c r="C51" s="273">
        <v>1643857.9699134005</v>
      </c>
    </row>
    <row r="52" spans="1:3" ht="15">
      <c r="A52" s="182">
        <v>2</v>
      </c>
      <c r="B52" s="188" t="s">
        <v>191</v>
      </c>
      <c r="C52" s="273">
        <v>365301.72475671815</v>
      </c>
    </row>
    <row r="53" spans="1:3" ht="15.75" thickBot="1">
      <c r="A53" s="181"/>
      <c r="B53" s="190" t="s">
        <v>32</v>
      </c>
      <c r="C53" s="273">
        <v>2009159.6946701186</v>
      </c>
    </row>
    <row r="54" spans="1:2" ht="15">
      <c r="A54" s="182"/>
      <c r="B54" s="183" t="s">
        <v>33</v>
      </c>
    </row>
    <row r="55" spans="1:3" ht="15">
      <c r="A55" s="182">
        <v>3</v>
      </c>
      <c r="B55" s="188" t="s">
        <v>34</v>
      </c>
      <c r="C55" s="351">
        <v>4.170163378269797</v>
      </c>
    </row>
    <row r="56" spans="1:3" ht="15">
      <c r="A56" s="182">
        <v>4</v>
      </c>
      <c r="B56" s="188" t="s">
        <v>35</v>
      </c>
      <c r="C56" s="7">
        <v>1522109.633068476</v>
      </c>
    </row>
    <row r="57" spans="1:3" ht="15.75" thickBot="1">
      <c r="A57" s="181">
        <v>5</v>
      </c>
      <c r="B57" s="191" t="s">
        <v>36</v>
      </c>
      <c r="C57" s="7">
        <v>4671</v>
      </c>
    </row>
    <row r="58" spans="1:2" ht="15">
      <c r="A58" s="182"/>
      <c r="B58" s="183" t="s">
        <v>37</v>
      </c>
    </row>
    <row r="59" spans="1:3" ht="15">
      <c r="A59" s="182">
        <v>6</v>
      </c>
      <c r="B59" s="188" t="s">
        <v>38</v>
      </c>
      <c r="C59" s="359">
        <v>1.3199835616438356</v>
      </c>
    </row>
    <row r="60" spans="1:3" ht="15">
      <c r="A60" s="182">
        <v>7</v>
      </c>
      <c r="B60" s="188" t="s">
        <v>39</v>
      </c>
      <c r="C60" s="359">
        <v>430.13480939201855</v>
      </c>
    </row>
  </sheetData>
  <sheetProtection/>
  <mergeCells count="4">
    <mergeCell ref="A2:C2"/>
    <mergeCell ref="A24:B24"/>
    <mergeCell ref="A33:C33"/>
    <mergeCell ref="A47:B4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41"/>
  <sheetViews>
    <sheetView zoomScalePageLayoutView="0" workbookViewId="0" topLeftCell="A1">
      <selection activeCell="G10" sqref="G10:M41"/>
    </sheetView>
  </sheetViews>
  <sheetFormatPr defaultColWidth="9.140625" defaultRowHeight="12.75"/>
  <cols>
    <col min="1" max="1" width="19.57421875" style="0" customWidth="1"/>
    <col min="2" max="2" width="29.28125" style="0" bestFit="1" customWidth="1"/>
    <col min="3" max="3" width="13.421875" style="0" bestFit="1" customWidth="1"/>
    <col min="9" max="9" width="11.421875" style="0" bestFit="1" customWidth="1"/>
    <col min="10" max="10" width="12.28125" style="0" bestFit="1" customWidth="1"/>
    <col min="11" max="11" width="16.28125" style="0" bestFit="1" customWidth="1"/>
    <col min="12" max="12" width="12.8515625" style="0" bestFit="1" customWidth="1"/>
    <col min="13" max="13" width="15.00390625" style="0" bestFit="1" customWidth="1"/>
  </cols>
  <sheetData>
    <row r="1" ht="14.25">
      <c r="A1" s="1" t="s">
        <v>73</v>
      </c>
    </row>
    <row r="2" spans="1:3" ht="13.5" thickBot="1">
      <c r="A2" s="461" t="s">
        <v>74</v>
      </c>
      <c r="B2" s="461"/>
      <c r="C2" s="461"/>
    </row>
    <row r="3" spans="1:3" ht="13.5" thickBot="1">
      <c r="A3" s="3" t="s">
        <v>2</v>
      </c>
      <c r="B3" s="3" t="s">
        <v>3</v>
      </c>
      <c r="C3" s="4" t="s">
        <v>4</v>
      </c>
    </row>
    <row r="4" spans="1:2" ht="12.75">
      <c r="A4" s="5"/>
      <c r="B4" s="6" t="s">
        <v>40</v>
      </c>
    </row>
    <row r="5" spans="1:3" ht="12.75">
      <c r="A5" s="5">
        <v>1</v>
      </c>
      <c r="B5" s="6" t="s">
        <v>75</v>
      </c>
      <c r="C5" s="353">
        <v>113651234.31442156</v>
      </c>
    </row>
    <row r="6" spans="1:3" ht="12.75">
      <c r="A6" s="5">
        <v>2</v>
      </c>
      <c r="B6" s="6" t="s">
        <v>76</v>
      </c>
      <c r="C6" s="353">
        <v>7271971.825491717</v>
      </c>
    </row>
    <row r="7" spans="1:3" ht="12.75">
      <c r="A7" s="5"/>
      <c r="B7" s="9" t="s">
        <v>8</v>
      </c>
      <c r="C7" s="353">
        <v>120923206.13991328</v>
      </c>
    </row>
    <row r="8" spans="1:3" ht="12.75">
      <c r="A8" s="5"/>
      <c r="B8" s="6" t="s">
        <v>9</v>
      </c>
      <c r="C8" s="353"/>
    </row>
    <row r="9" spans="1:3" ht="13.5" thickBot="1">
      <c r="A9" s="5">
        <v>3</v>
      </c>
      <c r="B9" s="10" t="s">
        <v>11</v>
      </c>
      <c r="C9" s="353">
        <v>42323130.43041675</v>
      </c>
    </row>
    <row r="10" spans="1:13" ht="12.75">
      <c r="A10" s="5">
        <v>4</v>
      </c>
      <c r="B10" s="10" t="s">
        <v>12</v>
      </c>
      <c r="C10" s="353">
        <v>6046152.025548562</v>
      </c>
      <c r="G10" s="56" t="s">
        <v>41</v>
      </c>
      <c r="H10" s="57"/>
      <c r="I10" s="57"/>
      <c r="J10" s="57"/>
      <c r="K10" s="57"/>
      <c r="L10" s="57"/>
      <c r="M10" s="58"/>
    </row>
    <row r="11" spans="1:13" ht="12.75">
      <c r="A11" s="5">
        <v>5</v>
      </c>
      <c r="B11" s="10" t="s">
        <v>13</v>
      </c>
      <c r="C11" s="353">
        <v>1209223.7799520313</v>
      </c>
      <c r="G11" s="59"/>
      <c r="H11" s="60"/>
      <c r="I11" s="60"/>
      <c r="J11" s="60"/>
      <c r="K11" s="60"/>
      <c r="L11" s="60"/>
      <c r="M11" s="61"/>
    </row>
    <row r="12" spans="1:13" ht="12.75">
      <c r="A12" s="5"/>
      <c r="B12" s="9" t="s">
        <v>14</v>
      </c>
      <c r="C12" s="353">
        <v>49578506.235917345</v>
      </c>
      <c r="G12" s="62"/>
      <c r="H12" s="63" t="s">
        <v>42</v>
      </c>
      <c r="I12" s="64"/>
      <c r="J12" s="64"/>
      <c r="K12" s="64"/>
      <c r="L12" s="64"/>
      <c r="M12" s="65"/>
    </row>
    <row r="13" spans="1:13" ht="15">
      <c r="A13" s="2"/>
      <c r="C13" s="353"/>
      <c r="G13" s="62"/>
      <c r="H13" s="66" t="s">
        <v>21</v>
      </c>
      <c r="I13" s="67"/>
      <c r="J13" s="67"/>
      <c r="K13" s="68">
        <f>C19</f>
        <v>0.06</v>
      </c>
      <c r="L13" s="64"/>
      <c r="M13" s="65"/>
    </row>
    <row r="14" spans="1:13" ht="13.5" thickBot="1">
      <c r="A14" s="461" t="s">
        <v>77</v>
      </c>
      <c r="B14" s="461"/>
      <c r="C14" s="461"/>
      <c r="G14" s="62"/>
      <c r="H14" s="69" t="s">
        <v>23</v>
      </c>
      <c r="I14" s="64"/>
      <c r="J14" s="64"/>
      <c r="K14" s="70">
        <f>C20</f>
        <v>0.005</v>
      </c>
      <c r="L14" s="64"/>
      <c r="M14" s="65"/>
    </row>
    <row r="15" spans="1:13" ht="13.5" thickBot="1">
      <c r="A15" s="11" t="s">
        <v>2</v>
      </c>
      <c r="B15" s="3" t="s">
        <v>3</v>
      </c>
      <c r="C15" s="3" t="s">
        <v>16</v>
      </c>
      <c r="G15" s="62"/>
      <c r="H15" s="69" t="s">
        <v>24</v>
      </c>
      <c r="I15" s="64"/>
      <c r="J15" s="64"/>
      <c r="K15" s="71">
        <v>20</v>
      </c>
      <c r="L15" s="64"/>
      <c r="M15" s="65"/>
    </row>
    <row r="16" spans="1:13" ht="12.75">
      <c r="A16" s="5">
        <v>1</v>
      </c>
      <c r="B16" s="6" t="s">
        <v>18</v>
      </c>
      <c r="C16" s="353">
        <v>120923206.13991328</v>
      </c>
      <c r="G16" s="62"/>
      <c r="H16" s="69" t="s">
        <v>26</v>
      </c>
      <c r="I16" s="64"/>
      <c r="J16" s="64"/>
      <c r="K16" s="71">
        <v>240</v>
      </c>
      <c r="L16" s="64"/>
      <c r="M16" s="65"/>
    </row>
    <row r="17" spans="1:13" ht="12.75">
      <c r="A17" s="5">
        <v>2</v>
      </c>
      <c r="B17" s="6" t="s">
        <v>78</v>
      </c>
      <c r="C17" s="353">
        <v>49578506.235917345</v>
      </c>
      <c r="G17" s="62"/>
      <c r="H17" s="69" t="s">
        <v>43</v>
      </c>
      <c r="I17" s="64"/>
      <c r="J17" s="64"/>
      <c r="K17" s="72">
        <f>C18</f>
        <v>170501712.37583062</v>
      </c>
      <c r="L17" s="64"/>
      <c r="M17" s="65"/>
    </row>
    <row r="18" spans="1:13" ht="12.75">
      <c r="A18" s="5">
        <v>3</v>
      </c>
      <c r="B18" s="6" t="s">
        <v>20</v>
      </c>
      <c r="C18" s="353">
        <v>170501712.37583062</v>
      </c>
      <c r="G18" s="62"/>
      <c r="H18" s="69"/>
      <c r="I18" s="64"/>
      <c r="J18" s="64"/>
      <c r="K18" s="73"/>
      <c r="L18" s="64"/>
      <c r="M18" s="65"/>
    </row>
    <row r="19" spans="1:13" ht="12.75">
      <c r="A19" s="5">
        <v>4</v>
      </c>
      <c r="B19" s="6" t="s">
        <v>21</v>
      </c>
      <c r="C19">
        <v>0.06</v>
      </c>
      <c r="G19" s="62"/>
      <c r="H19" s="69" t="s">
        <v>44</v>
      </c>
      <c r="I19" s="64"/>
      <c r="J19" s="64"/>
      <c r="K19" s="74">
        <f>PMT(K14,K16,K17)*-1</f>
        <v>1221527.2226975595</v>
      </c>
      <c r="L19" s="64"/>
      <c r="M19" s="65"/>
    </row>
    <row r="20" spans="1:13" ht="12.75">
      <c r="A20" s="5">
        <v>5</v>
      </c>
      <c r="B20" s="6" t="s">
        <v>23</v>
      </c>
      <c r="C20">
        <v>0.005</v>
      </c>
      <c r="G20" s="62"/>
      <c r="H20" s="69" t="s">
        <v>45</v>
      </c>
      <c r="I20" s="64"/>
      <c r="J20" s="64"/>
      <c r="K20" s="74">
        <f>K19*12</f>
        <v>14658326.672370713</v>
      </c>
      <c r="L20" s="64"/>
      <c r="M20" s="65"/>
    </row>
    <row r="21" spans="1:13" ht="12.75">
      <c r="A21" s="5">
        <v>6</v>
      </c>
      <c r="B21" s="6" t="s">
        <v>24</v>
      </c>
      <c r="C21">
        <v>20</v>
      </c>
      <c r="G21" s="62"/>
      <c r="H21" s="75" t="s">
        <v>46</v>
      </c>
      <c r="I21" s="76"/>
      <c r="J21" s="76"/>
      <c r="K21" s="77">
        <f>K20*K15</f>
        <v>293166533.4474143</v>
      </c>
      <c r="L21" s="64"/>
      <c r="M21" s="65"/>
    </row>
    <row r="22" spans="1:13" ht="12.75">
      <c r="A22" s="5">
        <v>7</v>
      </c>
      <c r="B22" s="6" t="s">
        <v>26</v>
      </c>
      <c r="C22">
        <v>240</v>
      </c>
      <c r="G22" s="62"/>
      <c r="H22" s="64"/>
      <c r="I22" s="64"/>
      <c r="J22" s="64"/>
      <c r="K22" s="64"/>
      <c r="L22" s="64"/>
      <c r="M22" s="65"/>
    </row>
    <row r="23" spans="1:13" ht="12.75">
      <c r="A23" s="5">
        <v>8</v>
      </c>
      <c r="B23" s="6" t="s">
        <v>27</v>
      </c>
      <c r="C23" s="353">
        <v>1221527.2226975788</v>
      </c>
      <c r="G23" s="62" t="s">
        <v>47</v>
      </c>
      <c r="H23" s="64"/>
      <c r="I23" s="64"/>
      <c r="J23" s="64"/>
      <c r="K23" s="64"/>
      <c r="L23" s="64"/>
      <c r="M23" s="65"/>
    </row>
    <row r="24" spans="1:13" ht="24">
      <c r="A24" s="5">
        <v>9</v>
      </c>
      <c r="B24" s="6" t="s">
        <v>28</v>
      </c>
      <c r="C24" s="353">
        <v>14658326.672370946</v>
      </c>
      <c r="G24" s="78" t="s">
        <v>48</v>
      </c>
      <c r="H24" s="79" t="s">
        <v>49</v>
      </c>
      <c r="I24" s="79" t="s">
        <v>50</v>
      </c>
      <c r="J24" s="79" t="s">
        <v>51</v>
      </c>
      <c r="K24" s="79" t="s">
        <v>52</v>
      </c>
      <c r="L24" s="79" t="s">
        <v>53</v>
      </c>
      <c r="M24" s="80" t="s">
        <v>67</v>
      </c>
    </row>
    <row r="25" spans="1:13" ht="14.25" thickBot="1">
      <c r="A25" s="5">
        <v>10</v>
      </c>
      <c r="B25" s="10" t="s">
        <v>29</v>
      </c>
      <c r="C25" s="280">
        <v>6804894.986008927</v>
      </c>
      <c r="G25" s="81"/>
      <c r="H25" s="82"/>
      <c r="I25" s="83" t="s">
        <v>69</v>
      </c>
      <c r="J25" s="83" t="s">
        <v>70</v>
      </c>
      <c r="K25" s="83" t="s">
        <v>71</v>
      </c>
      <c r="L25" s="83" t="s">
        <v>72</v>
      </c>
      <c r="M25" s="84"/>
    </row>
    <row r="26" spans="7:13" ht="12.75">
      <c r="G26" s="85" t="s">
        <v>54</v>
      </c>
      <c r="H26" s="86">
        <v>1</v>
      </c>
      <c r="I26" s="87">
        <f>PPMT($K$14,H26,$K$16,$K$17)*-1</f>
        <v>369018.6608184063</v>
      </c>
      <c r="J26" s="87">
        <f>K26-I26</f>
        <v>852508.5618791531</v>
      </c>
      <c r="K26" s="87">
        <f>$K$19</f>
        <v>1221527.2226975595</v>
      </c>
      <c r="L26" s="88">
        <f>$K$17-I26</f>
        <v>170132693.71501222</v>
      </c>
      <c r="M26" s="89">
        <f>L26*(0.04/12)</f>
        <v>567108.9790500408</v>
      </c>
    </row>
    <row r="27" spans="1:13" ht="12.75">
      <c r="A27" s="462" t="s">
        <v>79</v>
      </c>
      <c r="B27" s="462"/>
      <c r="C27" s="462"/>
      <c r="G27" s="90" t="s">
        <v>55</v>
      </c>
      <c r="H27" s="91">
        <v>2</v>
      </c>
      <c r="I27" s="87">
        <f aca="true" t="shared" si="0" ref="I27:I37">PPMT($K$14,H27,$K$16,$K$17)*-1</f>
        <v>370863.7541224984</v>
      </c>
      <c r="J27" s="87">
        <f aca="true" t="shared" si="1" ref="J27:J37">K27-I27</f>
        <v>850663.4685750611</v>
      </c>
      <c r="K27" s="87">
        <f aca="true" t="shared" si="2" ref="K27:K37">$K$19</f>
        <v>1221527.2226975595</v>
      </c>
      <c r="L27" s="88">
        <f aca="true" t="shared" si="3" ref="L27:L37">$K$17-I27</f>
        <v>170130848.62170812</v>
      </c>
      <c r="M27" s="89">
        <f aca="true" t="shared" si="4" ref="M27:M37">L27*(0.04/12)</f>
        <v>567102.8287390271</v>
      </c>
    </row>
    <row r="28" spans="1:13" ht="13.5" thickBot="1">
      <c r="A28" s="11" t="s">
        <v>2</v>
      </c>
      <c r="B28" s="3" t="s">
        <v>3</v>
      </c>
      <c r="C28" s="3" t="s">
        <v>16</v>
      </c>
      <c r="G28" s="90" t="s">
        <v>56</v>
      </c>
      <c r="H28" s="91">
        <v>3</v>
      </c>
      <c r="I28" s="87">
        <f t="shared" si="0"/>
        <v>372718.0728931109</v>
      </c>
      <c r="J28" s="87">
        <f t="shared" si="1"/>
        <v>848809.1498044486</v>
      </c>
      <c r="K28" s="87">
        <f t="shared" si="2"/>
        <v>1221527.2226975595</v>
      </c>
      <c r="L28" s="88">
        <f t="shared" si="3"/>
        <v>170128994.3029375</v>
      </c>
      <c r="M28" s="89">
        <f t="shared" si="4"/>
        <v>567096.6476764583</v>
      </c>
    </row>
    <row r="29" spans="1:13" ht="12.75">
      <c r="A29" s="5"/>
      <c r="B29" s="6" t="s">
        <v>31</v>
      </c>
      <c r="C29" s="12"/>
      <c r="G29" s="90" t="s">
        <v>57</v>
      </c>
      <c r="H29" s="91">
        <v>4</v>
      </c>
      <c r="I29" s="87">
        <f t="shared" si="0"/>
        <v>374581.66325757647</v>
      </c>
      <c r="J29" s="87">
        <f t="shared" si="1"/>
        <v>846945.559439983</v>
      </c>
      <c r="K29" s="87">
        <f t="shared" si="2"/>
        <v>1221527.2226975595</v>
      </c>
      <c r="L29" s="88">
        <f t="shared" si="3"/>
        <v>170127130.71257305</v>
      </c>
      <c r="M29" s="89">
        <f t="shared" si="4"/>
        <v>567090.4357085769</v>
      </c>
    </row>
    <row r="30" spans="1:13" ht="12.75">
      <c r="A30" s="5"/>
      <c r="B30" s="10"/>
      <c r="G30" s="90" t="s">
        <v>58</v>
      </c>
      <c r="H30" s="91">
        <v>5</v>
      </c>
      <c r="I30" s="87">
        <f t="shared" si="0"/>
        <v>376454.5715738643</v>
      </c>
      <c r="J30" s="87">
        <f t="shared" si="1"/>
        <v>845072.6511236952</v>
      </c>
      <c r="K30" s="87">
        <f t="shared" si="2"/>
        <v>1221527.2226975595</v>
      </c>
      <c r="L30" s="88">
        <f t="shared" si="3"/>
        <v>170125257.80425677</v>
      </c>
      <c r="M30" s="89">
        <f t="shared" si="4"/>
        <v>567084.192680856</v>
      </c>
    </row>
    <row r="31" spans="1:13" ht="12.75">
      <c r="A31" s="5">
        <v>2</v>
      </c>
      <c r="B31" s="10" t="s">
        <v>80</v>
      </c>
      <c r="C31" s="353">
        <v>1669639.1129991848</v>
      </c>
      <c r="G31" s="90" t="s">
        <v>59</v>
      </c>
      <c r="H31" s="91">
        <v>6</v>
      </c>
      <c r="I31" s="87">
        <f t="shared" si="0"/>
        <v>378336.84443173365</v>
      </c>
      <c r="J31" s="87">
        <f t="shared" si="1"/>
        <v>843190.3782658258</v>
      </c>
      <c r="K31" s="87">
        <f t="shared" si="2"/>
        <v>1221527.2226975595</v>
      </c>
      <c r="L31" s="88">
        <f t="shared" si="3"/>
        <v>170123375.5313989</v>
      </c>
      <c r="M31" s="89">
        <f t="shared" si="4"/>
        <v>567077.9184379963</v>
      </c>
    </row>
    <row r="32" spans="1:13" ht="12.75">
      <c r="A32" s="5">
        <v>3</v>
      </c>
      <c r="B32" s="10" t="s">
        <v>81</v>
      </c>
      <c r="C32" s="353">
        <v>5308540.0951247215</v>
      </c>
      <c r="G32" s="90" t="s">
        <v>60</v>
      </c>
      <c r="H32" s="91">
        <v>7</v>
      </c>
      <c r="I32" s="87">
        <f t="shared" si="0"/>
        <v>380228.5286538923</v>
      </c>
      <c r="J32" s="87">
        <f t="shared" si="1"/>
        <v>841298.6940436673</v>
      </c>
      <c r="K32" s="87">
        <f t="shared" si="2"/>
        <v>1221527.2226975595</v>
      </c>
      <c r="L32" s="88">
        <f t="shared" si="3"/>
        <v>170121483.84717673</v>
      </c>
      <c r="M32" s="89">
        <f t="shared" si="4"/>
        <v>567071.6128239224</v>
      </c>
    </row>
    <row r="33" spans="1:13" ht="13.5" thickBot="1">
      <c r="A33" s="3"/>
      <c r="B33" s="13" t="s">
        <v>32</v>
      </c>
      <c r="C33" s="353">
        <v>6978179.2081239065</v>
      </c>
      <c r="G33" s="90" t="s">
        <v>61</v>
      </c>
      <c r="H33" s="91">
        <v>8</v>
      </c>
      <c r="I33" s="87">
        <f t="shared" si="0"/>
        <v>382129.6712971618</v>
      </c>
      <c r="J33" s="87">
        <f t="shared" si="1"/>
        <v>839397.5514003977</v>
      </c>
      <c r="K33" s="87">
        <f t="shared" si="2"/>
        <v>1221527.2226975595</v>
      </c>
      <c r="L33" s="88">
        <f t="shared" si="3"/>
        <v>170119582.70453346</v>
      </c>
      <c r="M33" s="89">
        <f t="shared" si="4"/>
        <v>567065.2756817782</v>
      </c>
    </row>
    <row r="34" spans="1:13" ht="12.75">
      <c r="A34" s="5"/>
      <c r="B34" s="6" t="s">
        <v>33</v>
      </c>
      <c r="G34" s="90" t="s">
        <v>62</v>
      </c>
      <c r="H34" s="91">
        <v>9</v>
      </c>
      <c r="I34" s="87">
        <f t="shared" si="0"/>
        <v>384040.31965364754</v>
      </c>
      <c r="J34" s="87">
        <f t="shared" si="1"/>
        <v>837486.903043912</v>
      </c>
      <c r="K34" s="87">
        <f t="shared" si="2"/>
        <v>1221527.2226975595</v>
      </c>
      <c r="L34" s="88">
        <f t="shared" si="3"/>
        <v>170117672.05617696</v>
      </c>
      <c r="M34" s="89">
        <f t="shared" si="4"/>
        <v>567058.9068539232</v>
      </c>
    </row>
    <row r="35" spans="1:13" ht="12.75">
      <c r="A35" s="5">
        <v>4</v>
      </c>
      <c r="B35" s="10" t="s">
        <v>34</v>
      </c>
      <c r="C35" s="7">
        <v>41.40723550679485</v>
      </c>
      <c r="G35" s="90" t="s">
        <v>63</v>
      </c>
      <c r="H35" s="91">
        <v>10</v>
      </c>
      <c r="I35" s="87">
        <f t="shared" si="0"/>
        <v>385960.5212519158</v>
      </c>
      <c r="J35" s="87">
        <f t="shared" si="1"/>
        <v>835566.7014456438</v>
      </c>
      <c r="K35" s="87">
        <f t="shared" si="2"/>
        <v>1221527.2226975595</v>
      </c>
      <c r="L35" s="88">
        <f t="shared" si="3"/>
        <v>170115751.8545787</v>
      </c>
      <c r="M35" s="89">
        <f t="shared" si="4"/>
        <v>567052.506181929</v>
      </c>
    </row>
    <row r="36" spans="1:13" ht="12.75">
      <c r="A36" s="5">
        <v>5</v>
      </c>
      <c r="B36" s="10" t="s">
        <v>35</v>
      </c>
      <c r="C36" s="7">
        <v>15113640.95998012</v>
      </c>
      <c r="G36" s="90" t="s">
        <v>64</v>
      </c>
      <c r="H36" s="91">
        <v>11</v>
      </c>
      <c r="I36" s="87">
        <f t="shared" si="0"/>
        <v>387890.32385817537</v>
      </c>
      <c r="J36" s="87">
        <f t="shared" si="1"/>
        <v>833636.8988393841</v>
      </c>
      <c r="K36" s="87">
        <f t="shared" si="2"/>
        <v>1221527.2226975595</v>
      </c>
      <c r="L36" s="88">
        <f t="shared" si="3"/>
        <v>170113822.05197245</v>
      </c>
      <c r="M36" s="89">
        <f t="shared" si="4"/>
        <v>567046.0735065748</v>
      </c>
    </row>
    <row r="37" spans="1:13" ht="13.5" thickBot="1">
      <c r="A37" s="3">
        <v>6</v>
      </c>
      <c r="B37" s="15" t="s">
        <v>36</v>
      </c>
      <c r="C37">
        <v>46382</v>
      </c>
      <c r="G37" s="90" t="s">
        <v>65</v>
      </c>
      <c r="H37" s="91">
        <v>12</v>
      </c>
      <c r="I37" s="87">
        <f t="shared" si="0"/>
        <v>389829.77547746623</v>
      </c>
      <c r="J37" s="87">
        <f t="shared" si="1"/>
        <v>831697.4472200933</v>
      </c>
      <c r="K37" s="87">
        <f t="shared" si="2"/>
        <v>1221527.2226975595</v>
      </c>
      <c r="L37" s="88">
        <f t="shared" si="3"/>
        <v>170111882.60035315</v>
      </c>
      <c r="M37" s="89">
        <f t="shared" si="4"/>
        <v>567039.6086678439</v>
      </c>
    </row>
    <row r="38" spans="1:13" ht="12.75">
      <c r="A38" s="5"/>
      <c r="B38" s="6" t="s">
        <v>37</v>
      </c>
      <c r="G38" s="62"/>
      <c r="H38" s="64"/>
      <c r="I38" s="64"/>
      <c r="J38" s="64"/>
      <c r="K38" s="64"/>
      <c r="L38" s="64"/>
      <c r="M38" s="92"/>
    </row>
    <row r="39" spans="1:13" ht="13.5" thickBot="1">
      <c r="A39" s="5">
        <v>6</v>
      </c>
      <c r="B39" s="10" t="s">
        <v>38</v>
      </c>
      <c r="C39" s="354">
        <v>0.4617139726027397</v>
      </c>
      <c r="G39" s="93" t="s">
        <v>66</v>
      </c>
      <c r="H39" s="94"/>
      <c r="I39" s="95">
        <f>SUM(I26:I37)</f>
        <v>4552052.70728945</v>
      </c>
      <c r="J39" s="95">
        <f>SUM(J26:J37)</f>
        <v>10106273.965081265</v>
      </c>
      <c r="K39" s="95">
        <f>SUM(K26:K37)</f>
        <v>14658326.672370715</v>
      </c>
      <c r="L39" s="95"/>
      <c r="M39" s="96">
        <f>SUM(M26:M37)</f>
        <v>6804894.986008928</v>
      </c>
    </row>
    <row r="40" spans="1:13" ht="15">
      <c r="A40" s="5">
        <v>7</v>
      </c>
      <c r="B40" s="10" t="s">
        <v>39</v>
      </c>
      <c r="C40" s="354">
        <v>150.45015756379428</v>
      </c>
      <c r="G40" s="55"/>
      <c r="H40" s="55"/>
      <c r="I40" s="55"/>
      <c r="J40" s="55"/>
      <c r="K40" s="55"/>
      <c r="L40" s="55"/>
      <c r="M40" s="55"/>
    </row>
    <row r="41" spans="7:13" ht="15">
      <c r="G41" s="97" t="s">
        <v>68</v>
      </c>
      <c r="H41" s="55"/>
      <c r="I41" s="55"/>
      <c r="J41" s="55"/>
      <c r="K41" s="55"/>
      <c r="L41" s="55"/>
      <c r="M41" s="98">
        <f>K17+J39-M39</f>
        <v>173803091.35490295</v>
      </c>
    </row>
  </sheetData>
  <sheetProtection/>
  <mergeCells count="3">
    <mergeCell ref="A2:C2"/>
    <mergeCell ref="A27:C27"/>
    <mergeCell ref="A14:C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39"/>
  <sheetViews>
    <sheetView zoomScalePageLayoutView="0" workbookViewId="0" topLeftCell="A1">
      <selection activeCell="H3" sqref="H3:N34"/>
    </sheetView>
  </sheetViews>
  <sheetFormatPr defaultColWidth="9.140625" defaultRowHeight="12.75"/>
  <cols>
    <col min="1" max="1" width="21.140625" style="0" bestFit="1" customWidth="1"/>
    <col min="2" max="2" width="29.28125" style="0" bestFit="1" customWidth="1"/>
    <col min="3" max="3" width="11.28125" style="0" bestFit="1" customWidth="1"/>
    <col min="10" max="11" width="10.140625" style="0" bestFit="1" customWidth="1"/>
    <col min="12" max="12" width="12.28125" style="0" bestFit="1" customWidth="1"/>
    <col min="13" max="13" width="11.140625" style="0" bestFit="1" customWidth="1"/>
    <col min="14" max="14" width="12.8515625" style="0" bestFit="1" customWidth="1"/>
  </cols>
  <sheetData>
    <row r="1" ht="14.25">
      <c r="A1" s="1" t="s">
        <v>82</v>
      </c>
    </row>
    <row r="2" spans="1:3" ht="13.5" thickBot="1">
      <c r="A2" s="461" t="s">
        <v>83</v>
      </c>
      <c r="B2" s="461"/>
      <c r="C2" s="461"/>
    </row>
    <row r="3" spans="1:14" ht="13.5" thickBot="1">
      <c r="A3" s="3" t="s">
        <v>2</v>
      </c>
      <c r="B3" s="3" t="s">
        <v>3</v>
      </c>
      <c r="C3" s="4" t="s">
        <v>4</v>
      </c>
      <c r="H3" s="101" t="s">
        <v>41</v>
      </c>
      <c r="I3" s="102"/>
      <c r="J3" s="102"/>
      <c r="K3" s="102"/>
      <c r="L3" s="102"/>
      <c r="M3" s="102"/>
      <c r="N3" s="103"/>
    </row>
    <row r="4" spans="1:14" ht="12.75">
      <c r="A4" s="5"/>
      <c r="B4" s="6" t="s">
        <v>40</v>
      </c>
      <c r="C4" s="12"/>
      <c r="H4" s="104"/>
      <c r="I4" s="105"/>
      <c r="J4" s="105"/>
      <c r="K4" s="105"/>
      <c r="L4" s="105"/>
      <c r="M4" s="105"/>
      <c r="N4" s="106"/>
    </row>
    <row r="5" spans="1:14" ht="12.75">
      <c r="A5" s="5">
        <v>1</v>
      </c>
      <c r="B5" s="6" t="s">
        <v>75</v>
      </c>
      <c r="C5" s="353">
        <v>5056324.341697239</v>
      </c>
      <c r="H5" s="107"/>
      <c r="I5" s="108" t="s">
        <v>42</v>
      </c>
      <c r="J5" s="109"/>
      <c r="K5" s="109"/>
      <c r="L5" s="109"/>
      <c r="M5" s="109"/>
      <c r="N5" s="110"/>
    </row>
    <row r="6" spans="1:14" ht="12.75">
      <c r="A6" s="5">
        <v>2</v>
      </c>
      <c r="B6" s="6" t="s">
        <v>76</v>
      </c>
      <c r="C6" s="353">
        <v>175598.47450628958</v>
      </c>
      <c r="H6" s="107"/>
      <c r="I6" s="111" t="s">
        <v>21</v>
      </c>
      <c r="J6" s="112"/>
      <c r="K6" s="112"/>
      <c r="L6" s="113">
        <v>0.06</v>
      </c>
      <c r="M6" s="109"/>
      <c r="N6" s="110"/>
    </row>
    <row r="7" spans="1:14" ht="12.75">
      <c r="A7" s="5"/>
      <c r="B7" s="9" t="s">
        <v>8</v>
      </c>
      <c r="C7" s="353">
        <v>5231922.816203529</v>
      </c>
      <c r="H7" s="107"/>
      <c r="I7" s="114" t="s">
        <v>23</v>
      </c>
      <c r="J7" s="109"/>
      <c r="K7" s="109"/>
      <c r="L7" s="115">
        <f>C20</f>
        <v>0.005</v>
      </c>
      <c r="M7" s="109"/>
      <c r="N7" s="110"/>
    </row>
    <row r="8" spans="1:14" ht="12.75">
      <c r="A8" s="5"/>
      <c r="B8" s="6" t="s">
        <v>9</v>
      </c>
      <c r="C8" s="353"/>
      <c r="H8" s="107"/>
      <c r="I8" s="114" t="s">
        <v>24</v>
      </c>
      <c r="J8" s="109"/>
      <c r="K8" s="109"/>
      <c r="L8" s="116">
        <v>20</v>
      </c>
      <c r="M8" s="109"/>
      <c r="N8" s="110"/>
    </row>
    <row r="9" spans="1:14" ht="12.75">
      <c r="A9" s="5">
        <v>3</v>
      </c>
      <c r="B9" s="10" t="s">
        <v>11</v>
      </c>
      <c r="C9" s="353">
        <v>1831172.78569666</v>
      </c>
      <c r="H9" s="107"/>
      <c r="I9" s="114" t="s">
        <v>26</v>
      </c>
      <c r="J9" s="109"/>
      <c r="K9" s="109"/>
      <c r="L9" s="116">
        <v>240</v>
      </c>
      <c r="M9" s="109"/>
      <c r="N9" s="110"/>
    </row>
    <row r="10" spans="1:14" ht="12.75">
      <c r="A10" s="5">
        <v>4</v>
      </c>
      <c r="B10" s="10" t="s">
        <v>12</v>
      </c>
      <c r="C10" s="353">
        <v>261596.3407847518</v>
      </c>
      <c r="H10" s="107"/>
      <c r="I10" s="114" t="s">
        <v>43</v>
      </c>
      <c r="J10" s="109"/>
      <c r="K10" s="109"/>
      <c r="L10" s="117">
        <f>C18</f>
        <v>7377010.890882571</v>
      </c>
      <c r="M10" s="109"/>
      <c r="N10" s="110"/>
    </row>
    <row r="11" spans="1:14" ht="12.75">
      <c r="A11" s="5">
        <v>5</v>
      </c>
      <c r="B11" s="10" t="s">
        <v>13</v>
      </c>
      <c r="C11" s="353">
        <v>52318.94819762981</v>
      </c>
      <c r="H11" s="107"/>
      <c r="I11" s="114"/>
      <c r="J11" s="109"/>
      <c r="K11" s="109"/>
      <c r="L11" s="118"/>
      <c r="M11" s="109"/>
      <c r="N11" s="110"/>
    </row>
    <row r="12" spans="1:14" ht="12.75">
      <c r="A12" s="5"/>
      <c r="B12" s="9" t="s">
        <v>14</v>
      </c>
      <c r="C12" s="353">
        <v>2145088.0746790417</v>
      </c>
      <c r="H12" s="107"/>
      <c r="I12" s="114" t="s">
        <v>44</v>
      </c>
      <c r="J12" s="109"/>
      <c r="K12" s="109"/>
      <c r="L12" s="119">
        <f>PMT(L7,L9,L10)*-1</f>
        <v>52851.1972095995</v>
      </c>
      <c r="M12" s="109"/>
      <c r="N12" s="110"/>
    </row>
    <row r="13" spans="1:14" ht="15">
      <c r="A13" s="2"/>
      <c r="H13" s="107"/>
      <c r="I13" s="114" t="s">
        <v>45</v>
      </c>
      <c r="J13" s="109"/>
      <c r="K13" s="109"/>
      <c r="L13" s="119">
        <f>L12*12</f>
        <v>634214.3665151941</v>
      </c>
      <c r="M13" s="109"/>
      <c r="N13" s="110"/>
    </row>
    <row r="14" spans="1:14" ht="13.5" thickBot="1">
      <c r="A14" s="461" t="s">
        <v>84</v>
      </c>
      <c r="B14" s="461"/>
      <c r="C14" s="461"/>
      <c r="D14" s="461"/>
      <c r="H14" s="107"/>
      <c r="I14" s="120" t="s">
        <v>46</v>
      </c>
      <c r="J14" s="121"/>
      <c r="K14" s="121"/>
      <c r="L14" s="122">
        <f>L13*L8</f>
        <v>12684287.330303881</v>
      </c>
      <c r="M14" s="109"/>
      <c r="N14" s="110"/>
    </row>
    <row r="15" spans="1:14" ht="13.5" thickBot="1">
      <c r="A15" s="11" t="s">
        <v>2</v>
      </c>
      <c r="B15" s="3" t="s">
        <v>3</v>
      </c>
      <c r="C15" s="3" t="s">
        <v>16</v>
      </c>
      <c r="D15" s="3" t="s">
        <v>17</v>
      </c>
      <c r="H15" s="107"/>
      <c r="I15" s="109"/>
      <c r="J15" s="109"/>
      <c r="K15" s="109"/>
      <c r="L15" s="109"/>
      <c r="M15" s="109"/>
      <c r="N15" s="110"/>
    </row>
    <row r="16" spans="1:14" ht="12.75">
      <c r="A16" s="5">
        <v>1</v>
      </c>
      <c r="B16" s="6" t="s">
        <v>18</v>
      </c>
      <c r="C16" s="273">
        <v>5231922.816203529</v>
      </c>
      <c r="H16" s="107" t="s">
        <v>47</v>
      </c>
      <c r="I16" s="109"/>
      <c r="J16" s="109"/>
      <c r="K16" s="109"/>
      <c r="L16" s="109"/>
      <c r="M16" s="109"/>
      <c r="N16" s="110"/>
    </row>
    <row r="17" spans="1:14" ht="24">
      <c r="A17" s="5">
        <v>2</v>
      </c>
      <c r="B17" s="6" t="s">
        <v>78</v>
      </c>
      <c r="C17" s="273">
        <v>2145088.0746790417</v>
      </c>
      <c r="H17" s="123" t="s">
        <v>48</v>
      </c>
      <c r="I17" s="124" t="s">
        <v>49</v>
      </c>
      <c r="J17" s="124" t="s">
        <v>50</v>
      </c>
      <c r="K17" s="124" t="s">
        <v>51</v>
      </c>
      <c r="L17" s="124" t="s">
        <v>52</v>
      </c>
      <c r="M17" s="124" t="s">
        <v>53</v>
      </c>
      <c r="N17" s="125" t="s">
        <v>67</v>
      </c>
    </row>
    <row r="18" spans="1:14" ht="14.25" thickBot="1">
      <c r="A18" s="5">
        <v>3</v>
      </c>
      <c r="B18" s="6" t="s">
        <v>20</v>
      </c>
      <c r="C18" s="273">
        <v>7377010.890882571</v>
      </c>
      <c r="H18" s="126"/>
      <c r="I18" s="127"/>
      <c r="J18" s="128" t="s">
        <v>69</v>
      </c>
      <c r="K18" s="128" t="s">
        <v>70</v>
      </c>
      <c r="L18" s="128" t="s">
        <v>71</v>
      </c>
      <c r="M18" s="128" t="s">
        <v>72</v>
      </c>
      <c r="N18" s="129"/>
    </row>
    <row r="19" spans="1:14" ht="12.75">
      <c r="A19" s="5">
        <v>4</v>
      </c>
      <c r="B19" s="6" t="s">
        <v>21</v>
      </c>
      <c r="C19">
        <v>0.06</v>
      </c>
      <c r="H19" s="130" t="s">
        <v>54</v>
      </c>
      <c r="I19" s="131">
        <v>1</v>
      </c>
      <c r="J19" s="132">
        <f aca="true" t="shared" si="0" ref="J19:J30">PPMT($L$7,I19,$L$9,$L$10)*-1</f>
        <v>15966.142755186644</v>
      </c>
      <c r="K19" s="132">
        <f>L19-J19</f>
        <v>36885.05445441286</v>
      </c>
      <c r="L19" s="132">
        <f aca="true" t="shared" si="1" ref="L19:L30">$L$12</f>
        <v>52851.1972095995</v>
      </c>
      <c r="M19" s="133">
        <f aca="true" t="shared" si="2" ref="M19:M30">$L$10-J19</f>
        <v>7361044.748127385</v>
      </c>
      <c r="N19" s="134">
        <f>M19*(0.04/12)</f>
        <v>24536.815827091286</v>
      </c>
    </row>
    <row r="20" spans="1:14" ht="12.75">
      <c r="A20" s="5">
        <v>5</v>
      </c>
      <c r="B20" s="6" t="s">
        <v>23</v>
      </c>
      <c r="C20">
        <v>0.005</v>
      </c>
      <c r="H20" s="135" t="s">
        <v>55</v>
      </c>
      <c r="I20" s="136">
        <v>2</v>
      </c>
      <c r="J20" s="132">
        <f t="shared" si="0"/>
        <v>16045.97346896258</v>
      </c>
      <c r="K20" s="132">
        <f aca="true" t="shared" si="3" ref="K20:K30">L20-J20</f>
        <v>36805.223740636924</v>
      </c>
      <c r="L20" s="132">
        <f t="shared" si="1"/>
        <v>52851.1972095995</v>
      </c>
      <c r="M20" s="133">
        <f t="shared" si="2"/>
        <v>7360964.917413609</v>
      </c>
      <c r="N20" s="134">
        <f aca="true" t="shared" si="4" ref="N20:N30">M20*(0.04/12)</f>
        <v>24536.549724712033</v>
      </c>
    </row>
    <row r="21" spans="1:14" ht="12.75">
      <c r="A21" s="5">
        <v>6</v>
      </c>
      <c r="B21" s="6" t="s">
        <v>24</v>
      </c>
      <c r="C21">
        <v>20</v>
      </c>
      <c r="H21" s="135" t="s">
        <v>56</v>
      </c>
      <c r="I21" s="136">
        <v>3</v>
      </c>
      <c r="J21" s="132">
        <f t="shared" si="0"/>
        <v>16126.20333630739</v>
      </c>
      <c r="K21" s="132">
        <f t="shared" si="3"/>
        <v>36724.993873292115</v>
      </c>
      <c r="L21" s="132">
        <f t="shared" si="1"/>
        <v>52851.1972095995</v>
      </c>
      <c r="M21" s="133">
        <f t="shared" si="2"/>
        <v>7360884.687546263</v>
      </c>
      <c r="N21" s="134">
        <f t="shared" si="4"/>
        <v>24536.28229182088</v>
      </c>
    </row>
    <row r="22" spans="1:14" ht="12.75">
      <c r="A22" s="5">
        <v>7</v>
      </c>
      <c r="B22" s="6" t="s">
        <v>26</v>
      </c>
      <c r="C22">
        <v>240</v>
      </c>
      <c r="H22" s="135" t="s">
        <v>57</v>
      </c>
      <c r="I22" s="136">
        <v>4</v>
      </c>
      <c r="J22" s="132">
        <f t="shared" si="0"/>
        <v>16206.83435298893</v>
      </c>
      <c r="K22" s="132">
        <f t="shared" si="3"/>
        <v>36644.36285661057</v>
      </c>
      <c r="L22" s="132">
        <f t="shared" si="1"/>
        <v>52851.1972095995</v>
      </c>
      <c r="M22" s="133">
        <f t="shared" si="2"/>
        <v>7360804.0565295825</v>
      </c>
      <c r="N22" s="134">
        <f t="shared" si="4"/>
        <v>24536.013521765275</v>
      </c>
    </row>
    <row r="23" spans="1:14" ht="12.75">
      <c r="A23" s="5">
        <v>8</v>
      </c>
      <c r="B23" s="6" t="s">
        <v>27</v>
      </c>
      <c r="C23" s="273">
        <v>52851.19720960034</v>
      </c>
      <c r="H23" s="135" t="s">
        <v>58</v>
      </c>
      <c r="I23" s="136">
        <v>5</v>
      </c>
      <c r="J23" s="132">
        <f t="shared" si="0"/>
        <v>16287.868524753872</v>
      </c>
      <c r="K23" s="132">
        <f t="shared" si="3"/>
        <v>36563.32868484563</v>
      </c>
      <c r="L23" s="132">
        <f t="shared" si="1"/>
        <v>52851.1972095995</v>
      </c>
      <c r="M23" s="133">
        <f t="shared" si="2"/>
        <v>7360723.022357818</v>
      </c>
      <c r="N23" s="134">
        <f t="shared" si="4"/>
        <v>24535.743407859394</v>
      </c>
    </row>
    <row r="24" spans="1:14" ht="12.75">
      <c r="A24" s="5">
        <v>9</v>
      </c>
      <c r="B24" s="6" t="s">
        <v>28</v>
      </c>
      <c r="C24" s="273">
        <v>634214.3665152041</v>
      </c>
      <c r="H24" s="135" t="s">
        <v>59</v>
      </c>
      <c r="I24" s="136">
        <v>6</v>
      </c>
      <c r="J24" s="132">
        <f t="shared" si="0"/>
        <v>16369.307867377645</v>
      </c>
      <c r="K24" s="132">
        <f t="shared" si="3"/>
        <v>36481.88934222185</v>
      </c>
      <c r="L24" s="132">
        <f t="shared" si="1"/>
        <v>52851.1972095995</v>
      </c>
      <c r="M24" s="133">
        <f t="shared" si="2"/>
        <v>7360641.583015193</v>
      </c>
      <c r="N24" s="134">
        <f t="shared" si="4"/>
        <v>24535.47194338398</v>
      </c>
    </row>
    <row r="25" spans="1:14" ht="12.75">
      <c r="A25" s="5">
        <v>10</v>
      </c>
      <c r="B25" s="10" t="s">
        <v>29</v>
      </c>
      <c r="C25" s="273">
        <v>294423.9311359321</v>
      </c>
      <c r="H25" s="135" t="s">
        <v>60</v>
      </c>
      <c r="I25" s="136">
        <v>7</v>
      </c>
      <c r="J25" s="132">
        <f t="shared" si="0"/>
        <v>16451.15440671453</v>
      </c>
      <c r="K25" s="132">
        <f t="shared" si="3"/>
        <v>36400.04280288497</v>
      </c>
      <c r="L25" s="132">
        <f t="shared" si="1"/>
        <v>52851.1972095995</v>
      </c>
      <c r="M25" s="133">
        <f t="shared" si="2"/>
        <v>7360559.736475857</v>
      </c>
      <c r="N25" s="134">
        <f t="shared" si="4"/>
        <v>24535.199121586193</v>
      </c>
    </row>
    <row r="26" spans="8:14" ht="12.75">
      <c r="H26" s="135" t="s">
        <v>61</v>
      </c>
      <c r="I26" s="136">
        <v>8</v>
      </c>
      <c r="J26" s="132">
        <f t="shared" si="0"/>
        <v>16533.410178748105</v>
      </c>
      <c r="K26" s="132">
        <f t="shared" si="3"/>
        <v>36317.787030851396</v>
      </c>
      <c r="L26" s="132">
        <f t="shared" si="1"/>
        <v>52851.1972095995</v>
      </c>
      <c r="M26" s="133">
        <f t="shared" si="2"/>
        <v>7360477.480703823</v>
      </c>
      <c r="N26" s="134">
        <f t="shared" si="4"/>
        <v>24534.924935679413</v>
      </c>
    </row>
    <row r="27" spans="1:14" ht="12.75">
      <c r="A27" s="462" t="s">
        <v>85</v>
      </c>
      <c r="B27" s="462"/>
      <c r="C27" s="462"/>
      <c r="H27" s="135" t="s">
        <v>62</v>
      </c>
      <c r="I27" s="136">
        <v>9</v>
      </c>
      <c r="J27" s="132">
        <f t="shared" si="0"/>
        <v>16616.077229641844</v>
      </c>
      <c r="K27" s="132">
        <f t="shared" si="3"/>
        <v>36235.11997995766</v>
      </c>
      <c r="L27" s="132">
        <f t="shared" si="1"/>
        <v>52851.1972095995</v>
      </c>
      <c r="M27" s="133">
        <f t="shared" si="2"/>
        <v>7360394.813652929</v>
      </c>
      <c r="N27" s="134">
        <f t="shared" si="4"/>
        <v>24534.649378843096</v>
      </c>
    </row>
    <row r="28" spans="1:14" ht="13.5" thickBot="1">
      <c r="A28" s="11" t="s">
        <v>2</v>
      </c>
      <c r="B28" s="3" t="s">
        <v>3</v>
      </c>
      <c r="C28" s="3" t="s">
        <v>16</v>
      </c>
      <c r="H28" s="135" t="s">
        <v>63</v>
      </c>
      <c r="I28" s="136">
        <v>10</v>
      </c>
      <c r="J28" s="132">
        <f t="shared" si="0"/>
        <v>16699.15761579005</v>
      </c>
      <c r="K28" s="132">
        <f t="shared" si="3"/>
        <v>36152.03959380945</v>
      </c>
      <c r="L28" s="132">
        <f t="shared" si="1"/>
        <v>52851.1972095995</v>
      </c>
      <c r="M28" s="133">
        <f t="shared" si="2"/>
        <v>7360311.733266781</v>
      </c>
      <c r="N28" s="134">
        <f t="shared" si="4"/>
        <v>24534.372444222605</v>
      </c>
    </row>
    <row r="29" spans="1:14" ht="12.75">
      <c r="A29" s="5"/>
      <c r="B29" s="6" t="s">
        <v>31</v>
      </c>
      <c r="C29" s="12"/>
      <c r="H29" s="135" t="s">
        <v>64</v>
      </c>
      <c r="I29" s="136">
        <v>11</v>
      </c>
      <c r="J29" s="132">
        <f t="shared" si="0"/>
        <v>16782.653403869</v>
      </c>
      <c r="K29" s="132">
        <f t="shared" si="3"/>
        <v>36068.5438057305</v>
      </c>
      <c r="L29" s="132">
        <f t="shared" si="1"/>
        <v>52851.1972095995</v>
      </c>
      <c r="M29" s="133">
        <f t="shared" si="2"/>
        <v>7360228.237478702</v>
      </c>
      <c r="N29" s="134">
        <f t="shared" si="4"/>
        <v>24534.094124929008</v>
      </c>
    </row>
    <row r="30" spans="1:14" ht="12.75">
      <c r="A30" s="5">
        <v>1</v>
      </c>
      <c r="B30" s="10" t="s">
        <v>80</v>
      </c>
      <c r="C30" s="353">
        <v>40317.274083892175</v>
      </c>
      <c r="H30" s="135" t="s">
        <v>65</v>
      </c>
      <c r="I30" s="136">
        <v>12</v>
      </c>
      <c r="J30" s="132">
        <f t="shared" si="0"/>
        <v>16866.566670888347</v>
      </c>
      <c r="K30" s="132">
        <f t="shared" si="3"/>
        <v>35984.63053871115</v>
      </c>
      <c r="L30" s="132">
        <f t="shared" si="1"/>
        <v>52851.1972095995</v>
      </c>
      <c r="M30" s="133">
        <f t="shared" si="2"/>
        <v>7360144.324211683</v>
      </c>
      <c r="N30" s="134">
        <f t="shared" si="4"/>
        <v>24533.814414038945</v>
      </c>
    </row>
    <row r="31" spans="1:14" ht="12.75">
      <c r="A31" s="5">
        <v>2</v>
      </c>
      <c r="B31" s="10" t="s">
        <v>81</v>
      </c>
      <c r="C31" s="353">
        <v>128186.90238755742</v>
      </c>
      <c r="H31" s="107"/>
      <c r="I31" s="109"/>
      <c r="J31" s="109"/>
      <c r="K31" s="109"/>
      <c r="L31" s="109"/>
      <c r="M31" s="109"/>
      <c r="N31" s="137"/>
    </row>
    <row r="32" spans="1:14" ht="13.5" thickBot="1">
      <c r="A32" s="3"/>
      <c r="B32" s="13" t="s">
        <v>32</v>
      </c>
      <c r="C32" s="353">
        <v>168504.1764714496</v>
      </c>
      <c r="H32" s="138" t="s">
        <v>66</v>
      </c>
      <c r="I32" s="139"/>
      <c r="J32" s="140">
        <f>SUM(J19:J30)</f>
        <v>196951.34981122892</v>
      </c>
      <c r="K32" s="140">
        <f>SUM(K19:K30)</f>
        <v>437263.0167039651</v>
      </c>
      <c r="L32" s="140">
        <f>SUM(L19:L30)</f>
        <v>634214.3665151941</v>
      </c>
      <c r="M32" s="140"/>
      <c r="N32" s="141">
        <f>SUM(N19:N30)</f>
        <v>294423.93113593216</v>
      </c>
    </row>
    <row r="33" spans="1:14" ht="15">
      <c r="A33" s="5"/>
      <c r="B33" s="6" t="s">
        <v>33</v>
      </c>
      <c r="H33" s="100"/>
      <c r="I33" s="100"/>
      <c r="J33" s="100"/>
      <c r="K33" s="100"/>
      <c r="L33" s="100"/>
      <c r="M33" s="100"/>
      <c r="N33" s="100"/>
    </row>
    <row r="34" spans="1:14" ht="15">
      <c r="A34" s="5">
        <v>3</v>
      </c>
      <c r="B34" s="10" t="s">
        <v>34</v>
      </c>
      <c r="C34" s="7">
        <v>0.9998728767110137</v>
      </c>
      <c r="H34" s="463" t="s">
        <v>68</v>
      </c>
      <c r="I34" s="464"/>
      <c r="J34" s="100"/>
      <c r="K34" s="100"/>
      <c r="L34" s="100"/>
      <c r="M34" s="100"/>
      <c r="N34" s="142">
        <f>L10+K32-N32</f>
        <v>7519849.976450604</v>
      </c>
    </row>
    <row r="35" spans="1:3" ht="12.75">
      <c r="A35" s="5">
        <v>4</v>
      </c>
      <c r="B35" s="10" t="s">
        <v>35</v>
      </c>
      <c r="C35" s="7">
        <v>364953.59999952</v>
      </c>
    </row>
    <row r="36" spans="1:3" ht="13.5" thickBot="1">
      <c r="A36" s="3">
        <v>5</v>
      </c>
      <c r="B36" s="15" t="s">
        <v>36</v>
      </c>
      <c r="C36" s="7">
        <v>1120</v>
      </c>
    </row>
    <row r="37" spans="1:2" ht="12.75">
      <c r="A37" s="5"/>
      <c r="B37" s="6" t="s">
        <v>37</v>
      </c>
    </row>
    <row r="38" spans="1:3" ht="12.75">
      <c r="A38" s="5">
        <v>6</v>
      </c>
      <c r="B38" s="10" t="s">
        <v>38</v>
      </c>
      <c r="C38" s="359">
        <v>0.4617139726027397</v>
      </c>
    </row>
    <row r="39" spans="1:3" ht="12.75">
      <c r="A39" s="5">
        <v>7</v>
      </c>
      <c r="B39" s="10" t="s">
        <v>39</v>
      </c>
      <c r="C39" s="359">
        <v>150.4501575637943</v>
      </c>
    </row>
  </sheetData>
  <sheetProtection/>
  <mergeCells count="4">
    <mergeCell ref="A2:C2"/>
    <mergeCell ref="A14:D14"/>
    <mergeCell ref="A27:C27"/>
    <mergeCell ref="H34:I3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43"/>
  <sheetViews>
    <sheetView zoomScalePageLayoutView="0" workbookViewId="0" topLeftCell="A1">
      <selection activeCell="E4" sqref="E4:K35"/>
    </sheetView>
  </sheetViews>
  <sheetFormatPr defaultColWidth="9.140625" defaultRowHeight="12.75"/>
  <cols>
    <col min="1" max="1" width="18.7109375" style="0" customWidth="1"/>
    <col min="2" max="2" width="37.140625" style="0" bestFit="1" customWidth="1"/>
    <col min="3" max="3" width="11.7109375" style="0" bestFit="1" customWidth="1"/>
    <col min="7" max="7" width="10.140625" style="0" bestFit="1" customWidth="1"/>
    <col min="8" max="8" width="11.421875" style="0" bestFit="1" customWidth="1"/>
    <col min="9" max="9" width="12.28125" style="0" bestFit="1" customWidth="1"/>
    <col min="10" max="10" width="12.00390625" style="0" bestFit="1" customWidth="1"/>
    <col min="11" max="11" width="14.00390625" style="0" bestFit="1" customWidth="1"/>
  </cols>
  <sheetData>
    <row r="1" ht="14.25">
      <c r="A1" s="1" t="s">
        <v>0</v>
      </c>
    </row>
    <row r="2" ht="15">
      <c r="A2" s="2"/>
    </row>
    <row r="3" spans="1:3" ht="13.5" thickBot="1">
      <c r="A3" s="461" t="s">
        <v>1</v>
      </c>
      <c r="B3" s="461"/>
      <c r="C3" s="461"/>
    </row>
    <row r="4" spans="1:11" ht="13.5" thickBot="1">
      <c r="A4" s="3" t="s">
        <v>2</v>
      </c>
      <c r="B4" s="3" t="s">
        <v>3</v>
      </c>
      <c r="C4" s="4" t="s">
        <v>4</v>
      </c>
      <c r="E4" s="465" t="s">
        <v>41</v>
      </c>
      <c r="F4" s="466"/>
      <c r="G4" s="466"/>
      <c r="H4" s="466"/>
      <c r="I4" s="466"/>
      <c r="J4" s="466"/>
      <c r="K4" s="467"/>
    </row>
    <row r="5" spans="1:11" ht="12.75">
      <c r="A5" s="5"/>
      <c r="B5" s="6" t="s">
        <v>5</v>
      </c>
      <c r="E5" s="18"/>
      <c r="F5" s="19"/>
      <c r="G5" s="19"/>
      <c r="H5" s="19"/>
      <c r="I5" s="19"/>
      <c r="J5" s="19"/>
      <c r="K5" s="20"/>
    </row>
    <row r="6" spans="1:11" ht="12.75">
      <c r="A6" s="5">
        <v>1</v>
      </c>
      <c r="B6" s="6" t="s">
        <v>6</v>
      </c>
      <c r="C6" s="273">
        <v>3106510.512836767</v>
      </c>
      <c r="E6" s="21"/>
      <c r="F6" s="22" t="s">
        <v>42</v>
      </c>
      <c r="G6" s="23"/>
      <c r="H6" s="23"/>
      <c r="I6" s="23"/>
      <c r="J6" s="23"/>
      <c r="K6" s="24"/>
    </row>
    <row r="7" spans="1:11" ht="12.75">
      <c r="A7" s="5">
        <v>2</v>
      </c>
      <c r="B7" s="6" t="s">
        <v>7</v>
      </c>
      <c r="C7" s="273">
        <v>12126288.392868463</v>
      </c>
      <c r="E7" s="21"/>
      <c r="F7" s="25" t="s">
        <v>21</v>
      </c>
      <c r="G7" s="26"/>
      <c r="H7" s="26"/>
      <c r="I7" s="27">
        <v>0.06</v>
      </c>
      <c r="J7" s="23"/>
      <c r="K7" s="24"/>
    </row>
    <row r="8" spans="1:11" ht="12.75">
      <c r="A8" s="5"/>
      <c r="B8" s="9" t="s">
        <v>8</v>
      </c>
      <c r="C8" s="273">
        <v>15232798.90570523</v>
      </c>
      <c r="E8" s="21"/>
      <c r="F8" s="28" t="s">
        <v>23</v>
      </c>
      <c r="G8" s="23"/>
      <c r="H8" s="23"/>
      <c r="I8" s="29">
        <v>0.005</v>
      </c>
      <c r="J8" s="23"/>
      <c r="K8" s="24"/>
    </row>
    <row r="9" spans="1:11" ht="12.75">
      <c r="A9" s="5"/>
      <c r="B9" s="6" t="s">
        <v>9</v>
      </c>
      <c r="C9" s="273"/>
      <c r="E9" s="21"/>
      <c r="F9" s="28" t="s">
        <v>24</v>
      </c>
      <c r="G9" s="23"/>
      <c r="H9" s="23"/>
      <c r="I9" s="30">
        <v>20</v>
      </c>
      <c r="J9" s="23"/>
      <c r="K9" s="24"/>
    </row>
    <row r="10" spans="1:11" ht="12.75">
      <c r="A10" s="5">
        <v>3</v>
      </c>
      <c r="B10" s="10" t="s">
        <v>10</v>
      </c>
      <c r="C10" s="273">
        <v>380289.66323296353</v>
      </c>
      <c r="E10" s="21"/>
      <c r="F10" s="28" t="s">
        <v>26</v>
      </c>
      <c r="G10" s="23"/>
      <c r="H10" s="23"/>
      <c r="I10" s="30">
        <v>240</v>
      </c>
      <c r="J10" s="23"/>
      <c r="K10" s="24"/>
    </row>
    <row r="11" spans="1:11" ht="12.75">
      <c r="A11" s="5">
        <v>4</v>
      </c>
      <c r="B11" s="10" t="s">
        <v>11</v>
      </c>
      <c r="C11" s="273">
        <v>5331480.0500792395</v>
      </c>
      <c r="E11" s="21"/>
      <c r="F11" s="28" t="s">
        <v>43</v>
      </c>
      <c r="G11" s="23"/>
      <c r="H11" s="23"/>
      <c r="I11" s="31">
        <f>C21</f>
        <v>21858535.340729002</v>
      </c>
      <c r="J11" s="23"/>
      <c r="K11" s="24"/>
    </row>
    <row r="12" spans="1:11" ht="12.75">
      <c r="A12" s="5">
        <v>5</v>
      </c>
      <c r="B12" s="10" t="s">
        <v>12</v>
      </c>
      <c r="C12" s="273">
        <v>761639.5122028526</v>
      </c>
      <c r="E12" s="21"/>
      <c r="F12" s="28"/>
      <c r="G12" s="23"/>
      <c r="H12" s="23"/>
      <c r="I12" s="32"/>
      <c r="J12" s="23"/>
      <c r="K12" s="24"/>
    </row>
    <row r="13" spans="1:11" ht="12.75">
      <c r="A13" s="5">
        <v>6</v>
      </c>
      <c r="B13" s="10" t="s">
        <v>13</v>
      </c>
      <c r="C13" s="273">
        <v>152327.20950871633</v>
      </c>
      <c r="E13" s="21"/>
      <c r="F13" s="28" t="s">
        <v>44</v>
      </c>
      <c r="G13" s="23"/>
      <c r="H13" s="23"/>
      <c r="I13" s="33">
        <f>PMT(I8,I10,I11)*-1</f>
        <v>156601.33610940853</v>
      </c>
      <c r="J13" s="23"/>
      <c r="K13" s="24"/>
    </row>
    <row r="14" spans="1:11" ht="12.75">
      <c r="A14" s="5"/>
      <c r="B14" s="9" t="s">
        <v>14</v>
      </c>
      <c r="C14" s="273">
        <v>6625736.435023772</v>
      </c>
      <c r="E14" s="21"/>
      <c r="F14" s="28" t="s">
        <v>45</v>
      </c>
      <c r="G14" s="23"/>
      <c r="H14" s="23"/>
      <c r="I14" s="33">
        <f>I13*12</f>
        <v>1879216.0333129023</v>
      </c>
      <c r="J14" s="23"/>
      <c r="K14" s="24"/>
    </row>
    <row r="15" spans="3:11" ht="12.75">
      <c r="C15" s="273"/>
      <c r="E15" s="21"/>
      <c r="F15" s="34" t="s">
        <v>46</v>
      </c>
      <c r="G15" s="35"/>
      <c r="H15" s="35"/>
      <c r="I15" s="36">
        <f>I9*I14</f>
        <v>37584320.666258045</v>
      </c>
      <c r="J15" s="23"/>
      <c r="K15" s="24"/>
    </row>
    <row r="16" spans="3:11" ht="12.75">
      <c r="C16" s="273"/>
      <c r="E16" s="21"/>
      <c r="F16" s="23"/>
      <c r="G16" s="23"/>
      <c r="H16" s="23"/>
      <c r="I16" s="23"/>
      <c r="J16" s="23"/>
      <c r="K16" s="24"/>
    </row>
    <row r="17" spans="1:11" ht="13.5" thickBot="1">
      <c r="A17" s="461" t="s">
        <v>15</v>
      </c>
      <c r="B17" s="461"/>
      <c r="C17" s="461"/>
      <c r="D17" s="461"/>
      <c r="E17" s="21" t="s">
        <v>47</v>
      </c>
      <c r="F17" s="23"/>
      <c r="G17" s="23"/>
      <c r="H17" s="23"/>
      <c r="I17" s="23"/>
      <c r="J17" s="23"/>
      <c r="K17" s="24"/>
    </row>
    <row r="18" spans="1:11" ht="24.75" thickBot="1">
      <c r="A18" s="11" t="s">
        <v>2</v>
      </c>
      <c r="B18" s="3" t="s">
        <v>3</v>
      </c>
      <c r="C18" s="3" t="s">
        <v>16</v>
      </c>
      <c r="D18" s="3" t="s">
        <v>17</v>
      </c>
      <c r="E18" s="468" t="s">
        <v>48</v>
      </c>
      <c r="F18" s="470" t="s">
        <v>49</v>
      </c>
      <c r="G18" s="37" t="s">
        <v>50</v>
      </c>
      <c r="H18" s="37" t="s">
        <v>51</v>
      </c>
      <c r="I18" s="37" t="s">
        <v>52</v>
      </c>
      <c r="J18" s="37" t="s">
        <v>53</v>
      </c>
      <c r="K18" s="38" t="s">
        <v>67</v>
      </c>
    </row>
    <row r="19" spans="1:11" ht="14.25" thickBot="1">
      <c r="A19" s="5">
        <v>1</v>
      </c>
      <c r="B19" s="6" t="s">
        <v>18</v>
      </c>
      <c r="C19" s="273">
        <v>15232798.90570523</v>
      </c>
      <c r="E19" s="469"/>
      <c r="F19" s="471"/>
      <c r="G19" s="39" t="s">
        <v>69</v>
      </c>
      <c r="H19" s="39" t="s">
        <v>70</v>
      </c>
      <c r="I19" s="39" t="s">
        <v>71</v>
      </c>
      <c r="J19" s="39" t="s">
        <v>72</v>
      </c>
      <c r="K19" s="40"/>
    </row>
    <row r="20" spans="1:11" ht="12.75">
      <c r="A20" s="5">
        <v>2</v>
      </c>
      <c r="B20" s="6" t="s">
        <v>19</v>
      </c>
      <c r="C20" s="273">
        <v>6625736.435023772</v>
      </c>
      <c r="E20" s="41" t="s">
        <v>54</v>
      </c>
      <c r="F20" s="42">
        <v>1</v>
      </c>
      <c r="G20" s="43">
        <f>PPMT($I$8,F20,$I$10,$I$11)*-1</f>
        <v>47308.6594057635</v>
      </c>
      <c r="H20" s="43">
        <f>I20-G20</f>
        <v>109292.67670364503</v>
      </c>
      <c r="I20" s="43">
        <f>$I$13</f>
        <v>156601.33610940853</v>
      </c>
      <c r="J20" s="44">
        <f>$I$11-G20</f>
        <v>21811226.681323238</v>
      </c>
      <c r="K20" s="45">
        <f>J20*(0.04/12)</f>
        <v>72704.08893774413</v>
      </c>
    </row>
    <row r="21" spans="1:11" ht="12.75">
      <c r="A21" s="5">
        <v>3</v>
      </c>
      <c r="B21" s="6" t="s">
        <v>20</v>
      </c>
      <c r="C21" s="273">
        <v>21858535.340729002</v>
      </c>
      <c r="E21" s="46" t="s">
        <v>55</v>
      </c>
      <c r="F21" s="47">
        <v>2</v>
      </c>
      <c r="G21" s="43">
        <f aca="true" t="shared" si="0" ref="G21:G31">PPMT($I$8,F21,$I$10,$I$11)*-1</f>
        <v>47545.20270279233</v>
      </c>
      <c r="H21" s="43">
        <f aca="true" t="shared" si="1" ref="H21:H31">I21-G21</f>
        <v>109056.1334066162</v>
      </c>
      <c r="I21" s="43">
        <f aca="true" t="shared" si="2" ref="I21:I31">$I$13</f>
        <v>156601.33610940853</v>
      </c>
      <c r="J21" s="44">
        <f aca="true" t="shared" si="3" ref="J21:J31">$I$11-G21</f>
        <v>21810990.13802621</v>
      </c>
      <c r="K21" s="45">
        <f aca="true" t="shared" si="4" ref="K21:K31">J21*(0.04/12)</f>
        <v>72703.30046008738</v>
      </c>
    </row>
    <row r="22" spans="1:11" ht="12.75">
      <c r="A22" s="5">
        <v>4</v>
      </c>
      <c r="B22" s="6" t="s">
        <v>21</v>
      </c>
      <c r="C22">
        <v>0.06</v>
      </c>
      <c r="E22" s="46" t="s">
        <v>56</v>
      </c>
      <c r="F22" s="47">
        <v>3</v>
      </c>
      <c r="G22" s="43">
        <f t="shared" si="0"/>
        <v>47782.92871630628</v>
      </c>
      <c r="H22" s="43">
        <f t="shared" si="1"/>
        <v>108818.40739310224</v>
      </c>
      <c r="I22" s="43">
        <f t="shared" si="2"/>
        <v>156601.33610940853</v>
      </c>
      <c r="J22" s="44">
        <f t="shared" si="3"/>
        <v>21810752.412012696</v>
      </c>
      <c r="K22" s="45">
        <f t="shared" si="4"/>
        <v>72702.50804004233</v>
      </c>
    </row>
    <row r="23" spans="1:11" ht="12.75">
      <c r="A23" s="5">
        <v>5</v>
      </c>
      <c r="B23" s="6" t="s">
        <v>23</v>
      </c>
      <c r="C23">
        <v>0.005</v>
      </c>
      <c r="E23" s="46" t="s">
        <v>57</v>
      </c>
      <c r="F23" s="47">
        <v>4</v>
      </c>
      <c r="G23" s="43">
        <f t="shared" si="0"/>
        <v>48021.843359887825</v>
      </c>
      <c r="H23" s="43">
        <f t="shared" si="1"/>
        <v>108579.4927495207</v>
      </c>
      <c r="I23" s="43">
        <f t="shared" si="2"/>
        <v>156601.33610940853</v>
      </c>
      <c r="J23" s="44">
        <f t="shared" si="3"/>
        <v>21810513.497369114</v>
      </c>
      <c r="K23" s="45">
        <f t="shared" si="4"/>
        <v>72701.71165789705</v>
      </c>
    </row>
    <row r="24" spans="1:11" ht="12.75">
      <c r="A24" s="5">
        <v>6</v>
      </c>
      <c r="B24" s="6" t="s">
        <v>24</v>
      </c>
      <c r="C24">
        <v>20</v>
      </c>
      <c r="E24" s="46" t="s">
        <v>58</v>
      </c>
      <c r="F24" s="47">
        <v>5</v>
      </c>
      <c r="G24" s="43">
        <f t="shared" si="0"/>
        <v>48261.952576687254</v>
      </c>
      <c r="H24" s="43">
        <f t="shared" si="1"/>
        <v>108339.38353272127</v>
      </c>
      <c r="I24" s="43">
        <f t="shared" si="2"/>
        <v>156601.33610940853</v>
      </c>
      <c r="J24" s="44">
        <f t="shared" si="3"/>
        <v>21810273.388152316</v>
      </c>
      <c r="K24" s="45">
        <f t="shared" si="4"/>
        <v>72700.91129384105</v>
      </c>
    </row>
    <row r="25" spans="1:11" ht="12.75">
      <c r="A25" s="5">
        <v>7</v>
      </c>
      <c r="B25" s="6" t="s">
        <v>26</v>
      </c>
      <c r="C25">
        <v>240</v>
      </c>
      <c r="E25" s="46" t="s">
        <v>59</v>
      </c>
      <c r="F25" s="47">
        <v>6</v>
      </c>
      <c r="G25" s="43">
        <f t="shared" si="0"/>
        <v>48503.2623395707</v>
      </c>
      <c r="H25" s="43">
        <f t="shared" si="1"/>
        <v>108098.07376983782</v>
      </c>
      <c r="I25" s="43">
        <f t="shared" si="2"/>
        <v>156601.33610940853</v>
      </c>
      <c r="J25" s="44">
        <f t="shared" si="3"/>
        <v>21810032.078389432</v>
      </c>
      <c r="K25" s="45">
        <f t="shared" si="4"/>
        <v>72700.10692796478</v>
      </c>
    </row>
    <row r="26" spans="1:11" ht="12.75">
      <c r="A26" s="5">
        <v>8</v>
      </c>
      <c r="B26" s="6" t="s">
        <v>27</v>
      </c>
      <c r="C26" s="273">
        <v>156601.336109411</v>
      </c>
      <c r="E26" s="46" t="s">
        <v>60</v>
      </c>
      <c r="F26" s="47">
        <v>7</v>
      </c>
      <c r="G26" s="43">
        <f t="shared" si="0"/>
        <v>48745.77865126855</v>
      </c>
      <c r="H26" s="43">
        <f t="shared" si="1"/>
        <v>107855.55745813999</v>
      </c>
      <c r="I26" s="43">
        <f t="shared" si="2"/>
        <v>156601.33610940853</v>
      </c>
      <c r="J26" s="44">
        <f t="shared" si="3"/>
        <v>21809789.562077735</v>
      </c>
      <c r="K26" s="45">
        <f t="shared" si="4"/>
        <v>72699.29854025911</v>
      </c>
    </row>
    <row r="27" spans="1:11" ht="12.75">
      <c r="A27" s="5">
        <v>9</v>
      </c>
      <c r="B27" s="6" t="s">
        <v>28</v>
      </c>
      <c r="C27" s="273">
        <v>1879216.0333129321</v>
      </c>
      <c r="E27" s="46" t="s">
        <v>61</v>
      </c>
      <c r="F27" s="47">
        <v>8</v>
      </c>
      <c r="G27" s="43">
        <f t="shared" si="0"/>
        <v>48989.507544524895</v>
      </c>
      <c r="H27" s="43">
        <f t="shared" si="1"/>
        <v>107611.82856488363</v>
      </c>
      <c r="I27" s="43">
        <f t="shared" si="2"/>
        <v>156601.33610940853</v>
      </c>
      <c r="J27" s="44">
        <f t="shared" si="3"/>
        <v>21809545.833184477</v>
      </c>
      <c r="K27" s="45">
        <f t="shared" si="4"/>
        <v>72698.48611061493</v>
      </c>
    </row>
    <row r="28" spans="1:11" ht="12.75">
      <c r="A28" s="5">
        <v>10</v>
      </c>
      <c r="B28" s="10" t="s">
        <v>29</v>
      </c>
      <c r="C28" s="280">
        <v>872396.1505662332</v>
      </c>
      <c r="E28" s="46" t="s">
        <v>62</v>
      </c>
      <c r="F28" s="47">
        <v>9</v>
      </c>
      <c r="G28" s="43">
        <f t="shared" si="0"/>
        <v>49234.45508224751</v>
      </c>
      <c r="H28" s="43">
        <f t="shared" si="1"/>
        <v>107366.88102716103</v>
      </c>
      <c r="I28" s="43">
        <f t="shared" si="2"/>
        <v>156601.33610940853</v>
      </c>
      <c r="J28" s="44">
        <f t="shared" si="3"/>
        <v>21809300.885646753</v>
      </c>
      <c r="K28" s="45">
        <f t="shared" si="4"/>
        <v>72697.66961882252</v>
      </c>
    </row>
    <row r="29" spans="5:11" ht="12.75">
      <c r="E29" s="46" t="s">
        <v>63</v>
      </c>
      <c r="F29" s="47">
        <v>10</v>
      </c>
      <c r="G29" s="43">
        <f t="shared" si="0"/>
        <v>49480.62735765875</v>
      </c>
      <c r="H29" s="43">
        <f t="shared" si="1"/>
        <v>107120.70875174977</v>
      </c>
      <c r="I29" s="43">
        <f t="shared" si="2"/>
        <v>156601.33610940853</v>
      </c>
      <c r="J29" s="44">
        <f t="shared" si="3"/>
        <v>21809054.713371344</v>
      </c>
      <c r="K29" s="45">
        <f t="shared" si="4"/>
        <v>72696.84904457115</v>
      </c>
    </row>
    <row r="30" spans="5:11" ht="12.75">
      <c r="E30" s="46" t="s">
        <v>64</v>
      </c>
      <c r="F30" s="47">
        <v>11</v>
      </c>
      <c r="G30" s="43">
        <f t="shared" si="0"/>
        <v>49728.03049444704</v>
      </c>
      <c r="H30" s="43">
        <f t="shared" si="1"/>
        <v>106873.30561496149</v>
      </c>
      <c r="I30" s="43">
        <f t="shared" si="2"/>
        <v>156601.33610940853</v>
      </c>
      <c r="J30" s="44">
        <f t="shared" si="3"/>
        <v>21808807.310234554</v>
      </c>
      <c r="K30" s="45">
        <f t="shared" si="4"/>
        <v>72696.02436744852</v>
      </c>
    </row>
    <row r="31" spans="1:11" ht="12.75">
      <c r="A31" s="462" t="s">
        <v>30</v>
      </c>
      <c r="B31" s="462"/>
      <c r="C31" s="462"/>
      <c r="E31" s="46" t="s">
        <v>65</v>
      </c>
      <c r="F31" s="47">
        <v>12</v>
      </c>
      <c r="G31" s="43">
        <f t="shared" si="0"/>
        <v>49976.67064691927</v>
      </c>
      <c r="H31" s="43">
        <f t="shared" si="1"/>
        <v>106624.66546248925</v>
      </c>
      <c r="I31" s="43">
        <f t="shared" si="2"/>
        <v>156601.33610940853</v>
      </c>
      <c r="J31" s="44">
        <f t="shared" si="3"/>
        <v>21808558.67008208</v>
      </c>
      <c r="K31" s="45">
        <f t="shared" si="4"/>
        <v>72695.19556694028</v>
      </c>
    </row>
    <row r="32" spans="1:11" ht="13.5" thickBot="1">
      <c r="A32" s="11" t="s">
        <v>2</v>
      </c>
      <c r="B32" s="3" t="s">
        <v>3</v>
      </c>
      <c r="C32" s="3" t="s">
        <v>16</v>
      </c>
      <c r="E32" s="21"/>
      <c r="F32" s="23"/>
      <c r="G32" s="23"/>
      <c r="H32" s="23"/>
      <c r="I32" s="23"/>
      <c r="J32" s="23"/>
      <c r="K32" s="48"/>
    </row>
    <row r="33" spans="1:11" ht="13.5" thickBot="1">
      <c r="A33" s="5"/>
      <c r="B33" s="6" t="s">
        <v>31</v>
      </c>
      <c r="C33" s="6"/>
      <c r="E33" s="49" t="s">
        <v>66</v>
      </c>
      <c r="F33" s="50"/>
      <c r="G33" s="51">
        <f>SUM(G20:G31)</f>
        <v>583578.9188780739</v>
      </c>
      <c r="H33" s="51">
        <v>1597571.2596612114</v>
      </c>
      <c r="I33" s="51">
        <f>SUM(I20:I31)</f>
        <v>1879216.0333129028</v>
      </c>
      <c r="J33" s="51"/>
      <c r="K33" s="52">
        <f>SUM(K20:K31)</f>
        <v>872396.1505662332</v>
      </c>
    </row>
    <row r="34" spans="1:11" ht="15">
      <c r="A34" s="5"/>
      <c r="B34" s="10"/>
      <c r="C34" s="8"/>
      <c r="E34" s="17"/>
      <c r="F34" s="17"/>
      <c r="G34" s="17"/>
      <c r="H34" s="17"/>
      <c r="I34" s="17"/>
      <c r="J34" s="17"/>
      <c r="K34" s="17"/>
    </row>
    <row r="35" spans="1:11" ht="15.75" thickBot="1">
      <c r="A35" s="3"/>
      <c r="B35" s="13" t="s">
        <v>32</v>
      </c>
      <c r="C35" s="14"/>
      <c r="E35" s="53" t="s">
        <v>68</v>
      </c>
      <c r="F35" s="17"/>
      <c r="G35" s="17"/>
      <c r="H35" s="17"/>
      <c r="I35" s="17"/>
      <c r="J35" s="17"/>
      <c r="K35" s="54">
        <f>I11+H33-K33</f>
        <v>22583710.449823983</v>
      </c>
    </row>
    <row r="36" spans="1:2" ht="12.75">
      <c r="A36" s="5"/>
      <c r="B36" s="6" t="s">
        <v>33</v>
      </c>
    </row>
    <row r="37" spans="1:3" ht="12.75">
      <c r="A37" s="5">
        <v>1</v>
      </c>
      <c r="B37" s="10" t="s">
        <v>34</v>
      </c>
      <c r="C37" s="422">
        <v>29.276370839936607</v>
      </c>
    </row>
    <row r="38" spans="1:3" ht="12.75">
      <c r="A38" s="5">
        <v>2</v>
      </c>
      <c r="B38" s="10" t="s">
        <v>35</v>
      </c>
      <c r="C38" s="7">
        <v>10685875.356576862</v>
      </c>
    </row>
    <row r="39" spans="1:3" ht="13.5" thickBot="1">
      <c r="A39" s="3">
        <v>3</v>
      </c>
      <c r="B39" s="15" t="s">
        <v>36</v>
      </c>
      <c r="C39" s="357">
        <v>32793</v>
      </c>
    </row>
    <row r="40" spans="1:3" ht="12.75">
      <c r="A40" s="430" t="s">
        <v>241</v>
      </c>
      <c r="B40" s="431"/>
      <c r="C40" s="357"/>
    </row>
    <row r="41" spans="1:2" ht="12.75">
      <c r="A41" s="5"/>
      <c r="B41" s="6" t="s">
        <v>37</v>
      </c>
    </row>
    <row r="42" spans="1:2" ht="12.75">
      <c r="A42" s="5">
        <v>4</v>
      </c>
      <c r="B42" s="10" t="s">
        <v>38</v>
      </c>
    </row>
    <row r="43" spans="1:2" ht="12.75">
      <c r="A43" s="5">
        <v>5</v>
      </c>
      <c r="B43" s="10" t="s">
        <v>39</v>
      </c>
    </row>
  </sheetData>
  <sheetProtection/>
  <mergeCells count="6">
    <mergeCell ref="A3:C3"/>
    <mergeCell ref="A17:D17"/>
    <mergeCell ref="A31:C31"/>
    <mergeCell ref="E4:K4"/>
    <mergeCell ref="E18:E19"/>
    <mergeCell ref="F18:F1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70"/>
  <sheetViews>
    <sheetView zoomScalePageLayoutView="0" workbookViewId="0" topLeftCell="A13">
      <selection activeCell="E74" sqref="E74"/>
    </sheetView>
  </sheetViews>
  <sheetFormatPr defaultColWidth="9.140625" defaultRowHeight="12.75"/>
  <cols>
    <col min="1" max="1" width="22.00390625" style="0" bestFit="1" customWidth="1"/>
    <col min="2" max="2" width="41.8515625" style="0" bestFit="1" customWidth="1"/>
    <col min="3" max="3" width="12.140625" style="0" bestFit="1" customWidth="1"/>
    <col min="8" max="8" width="11.421875" style="0" bestFit="1" customWidth="1"/>
    <col min="9" max="9" width="12.28125" style="0" bestFit="1" customWidth="1"/>
    <col min="10" max="10" width="13.28125" style="0" bestFit="1" customWidth="1"/>
    <col min="11" max="11" width="12.8515625" style="0" bestFit="1" customWidth="1"/>
    <col min="12" max="12" width="11.8515625" style="0" bestFit="1" customWidth="1"/>
  </cols>
  <sheetData>
    <row r="1" ht="12.75">
      <c r="A1" s="275" t="s">
        <v>202</v>
      </c>
    </row>
    <row r="2" spans="1:2" ht="12.75">
      <c r="A2" s="480" t="s">
        <v>156</v>
      </c>
      <c r="B2" s="464"/>
    </row>
    <row r="3" spans="1:3" ht="12.75">
      <c r="A3" s="230" t="s">
        <v>2</v>
      </c>
      <c r="B3" s="231" t="s">
        <v>3</v>
      </c>
      <c r="C3" s="457"/>
    </row>
    <row r="4" spans="1:3" ht="15">
      <c r="A4" s="481" t="s">
        <v>141</v>
      </c>
      <c r="B4" s="482"/>
      <c r="C4" s="457"/>
    </row>
    <row r="5" spans="1:3" ht="15">
      <c r="A5" s="270">
        <v>1</v>
      </c>
      <c r="B5" s="269" t="s">
        <v>129</v>
      </c>
      <c r="C5" s="457">
        <v>6828393.121775765</v>
      </c>
    </row>
    <row r="6" spans="1:3" ht="15">
      <c r="A6" s="228">
        <v>2</v>
      </c>
      <c r="B6" s="268" t="s">
        <v>130</v>
      </c>
      <c r="C6" s="457">
        <v>10960282.291103376</v>
      </c>
    </row>
    <row r="7" spans="1:3" ht="15">
      <c r="A7" s="228">
        <v>3</v>
      </c>
      <c r="B7" s="268" t="s">
        <v>131</v>
      </c>
      <c r="C7" s="457">
        <v>20672096.77087114</v>
      </c>
    </row>
    <row r="8" spans="1:3" ht="15">
      <c r="A8" s="228">
        <v>4</v>
      </c>
      <c r="B8" s="268" t="s">
        <v>132</v>
      </c>
      <c r="C8" s="457">
        <v>12513569.79673289</v>
      </c>
    </row>
    <row r="9" spans="1:3" ht="15">
      <c r="A9" s="228">
        <v>5</v>
      </c>
      <c r="B9" s="268" t="s">
        <v>133</v>
      </c>
      <c r="C9" s="457">
        <v>425752.2578442332</v>
      </c>
    </row>
    <row r="10" spans="1:3" ht="15">
      <c r="A10" s="228">
        <v>6</v>
      </c>
      <c r="B10" s="268" t="s">
        <v>134</v>
      </c>
      <c r="C10" s="457">
        <v>1795255.35390985</v>
      </c>
    </row>
    <row r="11" spans="1:3" ht="15">
      <c r="A11" s="228">
        <v>7</v>
      </c>
      <c r="B11" s="268" t="s">
        <v>135</v>
      </c>
      <c r="C11" s="457">
        <v>1277256.7735326996</v>
      </c>
    </row>
    <row r="12" spans="1:3" ht="15">
      <c r="A12" s="228">
        <v>8</v>
      </c>
      <c r="B12" s="268" t="s">
        <v>136</v>
      </c>
      <c r="C12" s="457">
        <v>9307417.414539209</v>
      </c>
    </row>
    <row r="13" spans="1:3" ht="15.75" thickBot="1">
      <c r="A13" s="228">
        <v>9</v>
      </c>
      <c r="B13" s="268" t="s">
        <v>137</v>
      </c>
      <c r="C13" s="457">
        <v>7095870.964070552</v>
      </c>
    </row>
    <row r="14" spans="1:12" ht="15">
      <c r="A14" s="228">
        <v>10</v>
      </c>
      <c r="B14" s="271" t="s">
        <v>138</v>
      </c>
      <c r="C14" s="457">
        <v>70875894.74437971</v>
      </c>
      <c r="F14" s="473" t="s">
        <v>41</v>
      </c>
      <c r="G14" s="474"/>
      <c r="H14" s="474"/>
      <c r="I14" s="474"/>
      <c r="J14" s="474"/>
      <c r="K14" s="474"/>
      <c r="L14" s="475"/>
    </row>
    <row r="15" spans="1:12" ht="15">
      <c r="A15" s="228">
        <v>11</v>
      </c>
      <c r="B15" s="268" t="s">
        <v>139</v>
      </c>
      <c r="C15" s="457">
        <v>7087588.393162396</v>
      </c>
      <c r="F15" s="232"/>
      <c r="G15" s="233"/>
      <c r="H15" s="233"/>
      <c r="I15" s="233"/>
      <c r="J15" s="233"/>
      <c r="K15" s="233"/>
      <c r="L15" s="234"/>
    </row>
    <row r="16" spans="1:12" ht="15">
      <c r="A16" s="228">
        <v>12</v>
      </c>
      <c r="B16" s="274" t="s">
        <v>140</v>
      </c>
      <c r="C16" s="457">
        <v>77963483.13754211</v>
      </c>
      <c r="F16" s="236"/>
      <c r="G16" s="237" t="s">
        <v>42</v>
      </c>
      <c r="H16" s="238"/>
      <c r="I16" s="238"/>
      <c r="J16" s="238"/>
      <c r="K16" s="238"/>
      <c r="L16" s="239"/>
    </row>
    <row r="17" spans="1:12" ht="12.75">
      <c r="A17" s="275" t="s">
        <v>142</v>
      </c>
      <c r="B17" s="275"/>
      <c r="C17" s="457"/>
      <c r="F17" s="236"/>
      <c r="G17" s="240" t="s">
        <v>21</v>
      </c>
      <c r="H17" s="241"/>
      <c r="I17" s="241"/>
      <c r="J17" s="242">
        <v>0.06</v>
      </c>
      <c r="K17" s="238"/>
      <c r="L17" s="239"/>
    </row>
    <row r="18" spans="1:12" ht="15">
      <c r="A18" s="228">
        <v>13</v>
      </c>
      <c r="B18" t="s">
        <v>143</v>
      </c>
      <c r="C18" s="457">
        <v>2703188.938693544</v>
      </c>
      <c r="F18" s="236"/>
      <c r="G18" s="243" t="s">
        <v>23</v>
      </c>
      <c r="H18" s="238"/>
      <c r="I18" s="238"/>
      <c r="J18" s="244">
        <v>0.005</v>
      </c>
      <c r="K18" s="238"/>
      <c r="L18" s="239"/>
    </row>
    <row r="19" spans="1:12" ht="15">
      <c r="A19" s="228">
        <v>14</v>
      </c>
      <c r="B19" t="s">
        <v>145</v>
      </c>
      <c r="C19" s="457">
        <v>37755439.90673273</v>
      </c>
      <c r="F19" s="236"/>
      <c r="G19" s="243" t="s">
        <v>24</v>
      </c>
      <c r="H19" s="238"/>
      <c r="I19" s="238"/>
      <c r="J19" s="245">
        <v>20</v>
      </c>
      <c r="K19" s="238"/>
      <c r="L19" s="239"/>
    </row>
    <row r="20" spans="1:12" ht="15">
      <c r="A20" s="228">
        <v>15</v>
      </c>
      <c r="B20" t="s">
        <v>144</v>
      </c>
      <c r="C20" s="457">
        <v>1365110.4140402398</v>
      </c>
      <c r="F20" s="236"/>
      <c r="G20" s="243" t="s">
        <v>26</v>
      </c>
      <c r="H20" s="238"/>
      <c r="I20" s="238"/>
      <c r="J20" s="245">
        <v>240</v>
      </c>
      <c r="K20" s="238"/>
      <c r="L20" s="239"/>
    </row>
    <row r="21" spans="1:12" ht="15">
      <c r="A21" s="228">
        <v>16</v>
      </c>
      <c r="B21" t="s">
        <v>146</v>
      </c>
      <c r="C21" s="457">
        <v>4054783.4080403154</v>
      </c>
      <c r="F21" s="236"/>
      <c r="G21" s="243" t="s">
        <v>43</v>
      </c>
      <c r="H21" s="238"/>
      <c r="I21" s="238"/>
      <c r="J21" s="424">
        <v>182409000</v>
      </c>
      <c r="K21" s="238"/>
      <c r="L21" s="239"/>
    </row>
    <row r="22" spans="1:12" ht="15">
      <c r="A22" s="228">
        <v>17</v>
      </c>
      <c r="B22" t="s">
        <v>147</v>
      </c>
      <c r="C22" s="457">
        <v>1351594.469346772</v>
      </c>
      <c r="F22" s="236"/>
      <c r="G22" s="243"/>
      <c r="H22" s="238"/>
      <c r="I22" s="238"/>
      <c r="J22" s="247"/>
      <c r="K22" s="238"/>
      <c r="L22" s="239"/>
    </row>
    <row r="23" spans="1:12" ht="15">
      <c r="A23" s="228">
        <v>18</v>
      </c>
      <c r="B23" t="s">
        <v>148</v>
      </c>
      <c r="C23" s="457">
        <v>1567849.5844422553</v>
      </c>
      <c r="F23" s="236"/>
      <c r="G23" s="243" t="s">
        <v>44</v>
      </c>
      <c r="H23" s="238"/>
      <c r="I23" s="238"/>
      <c r="J23" s="248">
        <f>PMT(J18,J20,J21)*-1</f>
        <v>1306834.7294594357</v>
      </c>
      <c r="K23" s="238"/>
      <c r="L23" s="239"/>
    </row>
    <row r="24" spans="1:12" ht="15">
      <c r="A24" s="228">
        <v>19</v>
      </c>
      <c r="B24" s="276" t="s">
        <v>138</v>
      </c>
      <c r="C24" s="457">
        <v>48797966.721295856</v>
      </c>
      <c r="F24" s="236"/>
      <c r="G24" s="243" t="s">
        <v>45</v>
      </c>
      <c r="H24" s="238"/>
      <c r="I24" s="238"/>
      <c r="J24" s="248">
        <f>J23*12</f>
        <v>15682016.753513228</v>
      </c>
      <c r="K24" s="238"/>
      <c r="L24" s="239"/>
    </row>
    <row r="25" spans="1:12" ht="15">
      <c r="A25" s="228">
        <v>20</v>
      </c>
      <c r="B25" t="s">
        <v>149</v>
      </c>
      <c r="C25" s="457">
        <v>4879796.672129585</v>
      </c>
      <c r="F25" s="236"/>
      <c r="G25" s="249" t="s">
        <v>46</v>
      </c>
      <c r="H25" s="250"/>
      <c r="I25" s="250"/>
      <c r="J25" s="251">
        <f>J24*J19</f>
        <v>313640335.0702646</v>
      </c>
      <c r="K25" s="238"/>
      <c r="L25" s="239"/>
    </row>
    <row r="26" spans="1:12" ht="15">
      <c r="A26" s="228">
        <v>21</v>
      </c>
      <c r="B26" s="276" t="s">
        <v>150</v>
      </c>
      <c r="C26" s="457">
        <v>53677763.39342544</v>
      </c>
      <c r="F26" s="236"/>
      <c r="G26" s="238"/>
      <c r="H26" s="238"/>
      <c r="I26" s="238"/>
      <c r="J26" s="238"/>
      <c r="K26" s="238"/>
      <c r="L26" s="239"/>
    </row>
    <row r="27" spans="1:12" ht="12.75">
      <c r="A27" s="472" t="s">
        <v>151</v>
      </c>
      <c r="B27" s="472"/>
      <c r="C27" s="457"/>
      <c r="F27" s="236" t="s">
        <v>47</v>
      </c>
      <c r="G27" s="238"/>
      <c r="H27" s="238"/>
      <c r="I27" s="238"/>
      <c r="J27" s="238"/>
      <c r="K27" s="238"/>
      <c r="L27" s="239"/>
    </row>
    <row r="28" spans="1:12" ht="24.75">
      <c r="A28" s="228">
        <v>22</v>
      </c>
      <c r="B28" t="s">
        <v>152</v>
      </c>
      <c r="C28" s="457">
        <v>2459901.934211125</v>
      </c>
      <c r="F28" s="476" t="s">
        <v>48</v>
      </c>
      <c r="G28" s="478" t="s">
        <v>49</v>
      </c>
      <c r="H28" s="252" t="s">
        <v>50</v>
      </c>
      <c r="I28" s="252" t="s">
        <v>51</v>
      </c>
      <c r="J28" s="252" t="s">
        <v>52</v>
      </c>
      <c r="K28" s="252" t="s">
        <v>53</v>
      </c>
      <c r="L28" s="253" t="s">
        <v>67</v>
      </c>
    </row>
    <row r="29" spans="1:12" ht="15.75" thickBot="1">
      <c r="A29" s="228">
        <v>23</v>
      </c>
      <c r="B29" t="s">
        <v>151</v>
      </c>
      <c r="C29" s="457">
        <v>6163270.780221281</v>
      </c>
      <c r="F29" s="477"/>
      <c r="G29" s="479"/>
      <c r="H29" s="229" t="s">
        <v>69</v>
      </c>
      <c r="I29" s="229" t="s">
        <v>70</v>
      </c>
      <c r="J29" s="229" t="s">
        <v>71</v>
      </c>
      <c r="K29" s="229" t="s">
        <v>72</v>
      </c>
      <c r="L29" s="254"/>
    </row>
    <row r="30" spans="1:12" ht="15">
      <c r="A30" s="228">
        <v>24</v>
      </c>
      <c r="B30" t="s">
        <v>153</v>
      </c>
      <c r="C30" s="457">
        <v>3481437.0341434153</v>
      </c>
      <c r="F30" s="255" t="s">
        <v>54</v>
      </c>
      <c r="G30" s="256">
        <v>1</v>
      </c>
      <c r="H30" s="257">
        <f aca="true" t="shared" si="0" ref="H30:H41">PPMT($J$18,G30,$J$20,$J$21)*-1</f>
        <v>394789.7294594357</v>
      </c>
      <c r="I30" s="257">
        <f aca="true" t="shared" si="1" ref="I30:I41">J30-H30</f>
        <v>912045</v>
      </c>
      <c r="J30" s="282">
        <f aca="true" t="shared" si="2" ref="J30:J41">$J$23</f>
        <v>1306834.7294594357</v>
      </c>
      <c r="K30" s="258">
        <f aca="true" t="shared" si="3" ref="K30:K41">$J$21-H30</f>
        <v>182014210.27054057</v>
      </c>
      <c r="L30" s="259">
        <f aca="true" t="shared" si="4" ref="L30:L41">K30*(0.04/12)</f>
        <v>606714.0342351353</v>
      </c>
    </row>
    <row r="31" spans="1:12" ht="15">
      <c r="A31" s="228">
        <v>25</v>
      </c>
      <c r="B31" t="s">
        <v>154</v>
      </c>
      <c r="C31" s="457">
        <v>810956.6816080633</v>
      </c>
      <c r="F31" s="260" t="s">
        <v>55</v>
      </c>
      <c r="G31" s="261">
        <v>2</v>
      </c>
      <c r="H31" s="257">
        <f t="shared" si="0"/>
        <v>396763.6781067329</v>
      </c>
      <c r="I31" s="257">
        <f t="shared" si="1"/>
        <v>910071.0513527028</v>
      </c>
      <c r="J31" s="282">
        <f t="shared" si="2"/>
        <v>1306834.7294594357</v>
      </c>
      <c r="K31" s="258">
        <f t="shared" si="3"/>
        <v>182012236.32189327</v>
      </c>
      <c r="L31" s="259">
        <f t="shared" si="4"/>
        <v>606707.4544063109</v>
      </c>
    </row>
    <row r="32" spans="1:12" ht="15">
      <c r="A32" s="228">
        <v>26</v>
      </c>
      <c r="B32" s="276" t="s">
        <v>138</v>
      </c>
      <c r="C32" s="457">
        <v>12915566.430183884</v>
      </c>
      <c r="F32" s="260" t="s">
        <v>56</v>
      </c>
      <c r="G32" s="261">
        <v>3</v>
      </c>
      <c r="H32" s="257">
        <f t="shared" si="0"/>
        <v>398747.4964972665</v>
      </c>
      <c r="I32" s="257">
        <f t="shared" si="1"/>
        <v>908087.2329621692</v>
      </c>
      <c r="J32" s="282">
        <f t="shared" si="2"/>
        <v>1306834.7294594357</v>
      </c>
      <c r="K32" s="258">
        <f t="shared" si="3"/>
        <v>182010252.50350273</v>
      </c>
      <c r="L32" s="259">
        <f t="shared" si="4"/>
        <v>606700.8416783424</v>
      </c>
    </row>
    <row r="33" spans="1:12" ht="15">
      <c r="A33" s="228">
        <v>27</v>
      </c>
      <c r="B33" t="s">
        <v>139</v>
      </c>
      <c r="C33" s="457">
        <v>1291556.6430183884</v>
      </c>
      <c r="F33" s="260" t="s">
        <v>57</v>
      </c>
      <c r="G33" s="261">
        <v>4</v>
      </c>
      <c r="H33" s="257">
        <f t="shared" si="0"/>
        <v>400741.23397975287</v>
      </c>
      <c r="I33" s="257">
        <f t="shared" si="1"/>
        <v>906093.4954796828</v>
      </c>
      <c r="J33" s="282">
        <f t="shared" si="2"/>
        <v>1306834.7294594357</v>
      </c>
      <c r="K33" s="258">
        <f t="shared" si="3"/>
        <v>182008258.76602024</v>
      </c>
      <c r="L33" s="259">
        <f t="shared" si="4"/>
        <v>606694.1958867342</v>
      </c>
    </row>
    <row r="34" spans="1:12" ht="15">
      <c r="A34" s="228">
        <v>28</v>
      </c>
      <c r="B34" s="276" t="s">
        <v>155</v>
      </c>
      <c r="C34" s="457">
        <v>14207123.073202271</v>
      </c>
      <c r="F34" s="260" t="s">
        <v>58</v>
      </c>
      <c r="G34" s="261">
        <v>5</v>
      </c>
      <c r="H34" s="257">
        <f t="shared" si="0"/>
        <v>402744.94014965155</v>
      </c>
      <c r="I34" s="257">
        <f t="shared" si="1"/>
        <v>904089.7893097841</v>
      </c>
      <c r="J34" s="282">
        <f t="shared" si="2"/>
        <v>1306834.7294594357</v>
      </c>
      <c r="K34" s="258">
        <f t="shared" si="3"/>
        <v>182006255.05985034</v>
      </c>
      <c r="L34" s="259">
        <f t="shared" si="4"/>
        <v>606687.5168661678</v>
      </c>
    </row>
    <row r="35" spans="1:12" ht="14.25">
      <c r="A35" s="277">
        <v>29</v>
      </c>
      <c r="B35" s="278" t="s">
        <v>163</v>
      </c>
      <c r="C35" s="457">
        <v>145848369.60416982</v>
      </c>
      <c r="F35" s="260" t="s">
        <v>59</v>
      </c>
      <c r="G35" s="261">
        <v>6</v>
      </c>
      <c r="H35" s="257">
        <f t="shared" si="0"/>
        <v>404758.6648503999</v>
      </c>
      <c r="I35" s="257">
        <f t="shared" si="1"/>
        <v>902076.0646090358</v>
      </c>
      <c r="J35" s="282">
        <f t="shared" si="2"/>
        <v>1306834.7294594357</v>
      </c>
      <c r="K35" s="258">
        <f t="shared" si="3"/>
        <v>182004241.3351496</v>
      </c>
      <c r="L35" s="259">
        <f t="shared" si="4"/>
        <v>606680.8044504987</v>
      </c>
    </row>
    <row r="36" spans="1:12" ht="15">
      <c r="A36" s="228"/>
      <c r="C36" s="457"/>
      <c r="F36" s="260" t="s">
        <v>60</v>
      </c>
      <c r="G36" s="261">
        <v>7</v>
      </c>
      <c r="H36" s="257">
        <f t="shared" si="0"/>
        <v>406782.4581746519</v>
      </c>
      <c r="I36" s="257">
        <f t="shared" si="1"/>
        <v>900052.2712847837</v>
      </c>
      <c r="J36" s="282">
        <f t="shared" si="2"/>
        <v>1306834.7294594357</v>
      </c>
      <c r="K36" s="258">
        <f t="shared" si="3"/>
        <v>182002217.54182535</v>
      </c>
      <c r="L36" s="259">
        <f t="shared" si="4"/>
        <v>606674.0584727512</v>
      </c>
    </row>
    <row r="37" spans="1:12" ht="12.75">
      <c r="A37" s="472" t="s">
        <v>9</v>
      </c>
      <c r="B37" s="472"/>
      <c r="C37" s="457"/>
      <c r="F37" s="260" t="s">
        <v>61</v>
      </c>
      <c r="G37" s="261">
        <v>8</v>
      </c>
      <c r="H37" s="257">
        <f t="shared" si="0"/>
        <v>408816.3704655252</v>
      </c>
      <c r="I37" s="257">
        <f t="shared" si="1"/>
        <v>898018.3589939105</v>
      </c>
      <c r="J37" s="282">
        <f t="shared" si="2"/>
        <v>1306834.7294594357</v>
      </c>
      <c r="K37" s="258">
        <f t="shared" si="3"/>
        <v>182000183.62953448</v>
      </c>
      <c r="L37" s="259">
        <f t="shared" si="4"/>
        <v>606667.278765115</v>
      </c>
    </row>
    <row r="38" spans="1:12" ht="15">
      <c r="A38" s="279">
        <v>1</v>
      </c>
      <c r="B38" t="s">
        <v>157</v>
      </c>
      <c r="C38" s="457">
        <v>8020361.581103745</v>
      </c>
      <c r="F38" s="260" t="s">
        <v>62</v>
      </c>
      <c r="G38" s="261">
        <v>9</v>
      </c>
      <c r="H38" s="257">
        <f t="shared" si="0"/>
        <v>410860.45231785276</v>
      </c>
      <c r="I38" s="257">
        <f t="shared" si="1"/>
        <v>895974.2771415829</v>
      </c>
      <c r="J38" s="282">
        <f t="shared" si="2"/>
        <v>1306834.7294594357</v>
      </c>
      <c r="K38" s="258">
        <f t="shared" si="3"/>
        <v>181998139.54768214</v>
      </c>
      <c r="L38" s="259">
        <f t="shared" si="4"/>
        <v>606660.4651589405</v>
      </c>
    </row>
    <row r="39" spans="1:12" ht="15">
      <c r="A39" s="279">
        <v>2</v>
      </c>
      <c r="B39" t="s">
        <v>158</v>
      </c>
      <c r="C39" s="457">
        <v>16043426.351146182</v>
      </c>
      <c r="F39" s="260" t="s">
        <v>63</v>
      </c>
      <c r="G39" s="261">
        <v>10</v>
      </c>
      <c r="H39" s="257">
        <f t="shared" si="0"/>
        <v>412914.7545794419</v>
      </c>
      <c r="I39" s="257">
        <f t="shared" si="1"/>
        <v>893919.9748799938</v>
      </c>
      <c r="J39" s="282">
        <f t="shared" si="2"/>
        <v>1306834.7294594357</v>
      </c>
      <c r="K39" s="258">
        <f t="shared" si="3"/>
        <v>181996085.24542055</v>
      </c>
      <c r="L39" s="259">
        <f t="shared" si="4"/>
        <v>606653.6174847352</v>
      </c>
    </row>
    <row r="40" spans="1:12" ht="15">
      <c r="A40" s="279">
        <v>3</v>
      </c>
      <c r="B40" t="s">
        <v>159</v>
      </c>
      <c r="C40" s="457">
        <v>2916740.864850334</v>
      </c>
      <c r="F40" s="260" t="s">
        <v>64</v>
      </c>
      <c r="G40" s="261">
        <v>11</v>
      </c>
      <c r="H40" s="257">
        <f t="shared" si="0"/>
        <v>414979.3283523392</v>
      </c>
      <c r="I40" s="257">
        <f t="shared" si="1"/>
        <v>891855.4011070965</v>
      </c>
      <c r="J40" s="282">
        <f t="shared" si="2"/>
        <v>1306834.7294594357</v>
      </c>
      <c r="K40" s="258">
        <f t="shared" si="3"/>
        <v>181994020.67164767</v>
      </c>
      <c r="L40" s="259">
        <f t="shared" si="4"/>
        <v>606646.7355721589</v>
      </c>
    </row>
    <row r="41" spans="1:12" ht="15">
      <c r="A41" s="279">
        <v>4</v>
      </c>
      <c r="B41" t="s">
        <v>160</v>
      </c>
      <c r="C41" s="457">
        <v>7293203.756595181</v>
      </c>
      <c r="F41" s="260" t="s">
        <v>65</v>
      </c>
      <c r="G41" s="261">
        <v>12</v>
      </c>
      <c r="H41" s="257">
        <f t="shared" si="0"/>
        <v>417054.22499410086</v>
      </c>
      <c r="I41" s="257">
        <f t="shared" si="1"/>
        <v>889780.5044653348</v>
      </c>
      <c r="J41" s="282">
        <f t="shared" si="2"/>
        <v>1306834.7294594357</v>
      </c>
      <c r="K41" s="258">
        <f t="shared" si="3"/>
        <v>181991945.7750059</v>
      </c>
      <c r="L41" s="259">
        <f t="shared" si="4"/>
        <v>606639.8192500197</v>
      </c>
    </row>
    <row r="42" spans="1:12" ht="15">
      <c r="A42" s="279">
        <v>5</v>
      </c>
      <c r="B42" t="s">
        <v>161</v>
      </c>
      <c r="C42" s="457">
        <v>2286897.842134738</v>
      </c>
      <c r="F42" s="236"/>
      <c r="G42" s="238"/>
      <c r="H42" s="238"/>
      <c r="I42" s="238"/>
      <c r="J42" s="238"/>
      <c r="K42" s="238"/>
      <c r="L42" s="262"/>
    </row>
    <row r="43" spans="1:12" ht="15.75" thickBot="1">
      <c r="A43" s="279">
        <v>6</v>
      </c>
      <c r="B43" s="276" t="s">
        <v>162</v>
      </c>
      <c r="C43" s="457">
        <v>36560630.39583018</v>
      </c>
      <c r="F43" s="263" t="s">
        <v>66</v>
      </c>
      <c r="G43" s="235"/>
      <c r="H43" s="264">
        <f>SUM(H30:H41)</f>
        <v>4869953.331927151</v>
      </c>
      <c r="I43" s="264">
        <f>SUM(I30:I41)</f>
        <v>10812063.421586078</v>
      </c>
      <c r="J43" s="283">
        <f>SUM(J30:J41)</f>
        <v>15682016.753513224</v>
      </c>
      <c r="K43" s="264"/>
      <c r="L43" s="265">
        <f>SUM(L30:L41)</f>
        <v>7280126.82222691</v>
      </c>
    </row>
    <row r="44" spans="3:12" ht="15">
      <c r="C44" s="273"/>
      <c r="F44" s="228"/>
      <c r="G44" s="228"/>
      <c r="H44" s="228"/>
      <c r="I44" s="228"/>
      <c r="J44" s="228"/>
      <c r="K44" s="228"/>
      <c r="L44" s="228"/>
    </row>
    <row r="45" spans="1:12" ht="15.75" thickBot="1">
      <c r="A45" s="186" t="s">
        <v>2</v>
      </c>
      <c r="B45" s="181" t="s">
        <v>3</v>
      </c>
      <c r="C45" s="453" t="s">
        <v>17</v>
      </c>
      <c r="F45" s="266" t="s">
        <v>68</v>
      </c>
      <c r="G45" s="228"/>
      <c r="H45" s="228"/>
      <c r="I45" s="228"/>
      <c r="J45" s="228"/>
      <c r="K45" s="228"/>
      <c r="L45" s="272">
        <f>J21+I43-L43</f>
        <v>185940936.59935915</v>
      </c>
    </row>
    <row r="46" spans="1:3" ht="15">
      <c r="A46" s="182">
        <v>1</v>
      </c>
      <c r="B46" s="183" t="s">
        <v>18</v>
      </c>
      <c r="C46" s="273">
        <v>145848369.60416982</v>
      </c>
    </row>
    <row r="47" spans="1:3" ht="15">
      <c r="A47" s="182">
        <v>2</v>
      </c>
      <c r="B47" s="183" t="s">
        <v>78</v>
      </c>
      <c r="C47" s="273">
        <v>36560630.39583018</v>
      </c>
    </row>
    <row r="48" spans="1:3" ht="15">
      <c r="A48" s="182">
        <v>3</v>
      </c>
      <c r="B48" s="183" t="s">
        <v>20</v>
      </c>
      <c r="C48" s="273">
        <v>182409000</v>
      </c>
    </row>
    <row r="49" spans="1:3" ht="15">
      <c r="A49" s="182">
        <v>4</v>
      </c>
      <c r="B49" s="183" t="s">
        <v>21</v>
      </c>
      <c r="C49">
        <v>0.06</v>
      </c>
    </row>
    <row r="50" spans="1:3" ht="15">
      <c r="A50" s="182">
        <v>5</v>
      </c>
      <c r="B50" s="183" t="s">
        <v>23</v>
      </c>
      <c r="C50">
        <v>0.005</v>
      </c>
    </row>
    <row r="51" spans="1:3" ht="15">
      <c r="A51" s="182">
        <v>6</v>
      </c>
      <c r="B51" s="183" t="s">
        <v>24</v>
      </c>
      <c r="C51">
        <v>20</v>
      </c>
    </row>
    <row r="52" spans="1:3" ht="15">
      <c r="A52" s="182">
        <v>7</v>
      </c>
      <c r="B52" s="183" t="s">
        <v>26</v>
      </c>
      <c r="C52">
        <v>240</v>
      </c>
    </row>
    <row r="53" spans="1:3" ht="15">
      <c r="A53" s="182">
        <v>8</v>
      </c>
      <c r="B53" s="183" t="s">
        <v>27</v>
      </c>
      <c r="C53" s="273">
        <v>1306834.7294594564</v>
      </c>
    </row>
    <row r="54" spans="1:3" ht="15">
      <c r="A54" s="182">
        <v>9</v>
      </c>
      <c r="B54" s="183" t="s">
        <v>28</v>
      </c>
      <c r="C54" s="273">
        <v>15682016.753513478</v>
      </c>
    </row>
    <row r="55" spans="1:3" ht="15">
      <c r="A55" s="182">
        <v>10</v>
      </c>
      <c r="B55" s="188" t="s">
        <v>29</v>
      </c>
      <c r="C55" s="273">
        <v>7280126.82222691</v>
      </c>
    </row>
    <row r="56" ht="12.75">
      <c r="C56" s="273"/>
    </row>
    <row r="57" ht="12.75">
      <c r="C57" s="273"/>
    </row>
    <row r="58" spans="1:3" ht="15.75" thickBot="1">
      <c r="A58" s="186" t="s">
        <v>2</v>
      </c>
      <c r="B58" s="181" t="s">
        <v>3</v>
      </c>
      <c r="C58" s="273" t="s">
        <v>16</v>
      </c>
    </row>
    <row r="59" spans="1:3" ht="15">
      <c r="A59" s="182"/>
      <c r="B59" s="183" t="s">
        <v>31</v>
      </c>
      <c r="C59" s="273"/>
    </row>
    <row r="60" spans="1:3" ht="15">
      <c r="A60" s="182"/>
      <c r="B60" s="188"/>
      <c r="C60" s="273"/>
    </row>
    <row r="61" spans="1:3" ht="15">
      <c r="A61" s="182">
        <v>1</v>
      </c>
      <c r="B61" s="188" t="s">
        <v>164</v>
      </c>
      <c r="C61" s="273">
        <v>19814910</v>
      </c>
    </row>
    <row r="62" spans="1:3" ht="15">
      <c r="A62" s="182">
        <v>2</v>
      </c>
      <c r="B62" s="188" t="s">
        <v>165</v>
      </c>
      <c r="C62" s="273">
        <v>9605980</v>
      </c>
    </row>
    <row r="63" spans="1:3" ht="15.75" thickBot="1">
      <c r="A63" s="181"/>
      <c r="B63" s="190" t="s">
        <v>32</v>
      </c>
      <c r="C63" s="273">
        <v>29420890</v>
      </c>
    </row>
    <row r="64" spans="1:2" ht="15">
      <c r="A64" s="182"/>
      <c r="B64" s="183" t="s">
        <v>33</v>
      </c>
    </row>
    <row r="65" spans="1:3" ht="15">
      <c r="A65" s="182">
        <v>3</v>
      </c>
      <c r="B65" s="188" t="s">
        <v>34</v>
      </c>
      <c r="C65" s="7">
        <v>25</v>
      </c>
    </row>
    <row r="66" spans="1:3" ht="15">
      <c r="A66" s="182">
        <v>4</v>
      </c>
      <c r="B66" s="188" t="s">
        <v>35</v>
      </c>
      <c r="C66" s="7">
        <v>9125000</v>
      </c>
    </row>
    <row r="67" spans="1:3" ht="15.75" thickBot="1">
      <c r="A67" s="181">
        <v>5</v>
      </c>
      <c r="B67" s="191" t="s">
        <v>36</v>
      </c>
      <c r="C67" s="7">
        <v>28003.5599046384</v>
      </c>
    </row>
    <row r="68" spans="1:2" ht="15">
      <c r="A68" s="182"/>
      <c r="B68" s="183" t="s">
        <v>37</v>
      </c>
    </row>
    <row r="69" spans="1:3" ht="15">
      <c r="A69" s="182">
        <v>6</v>
      </c>
      <c r="B69" s="188" t="s">
        <v>38</v>
      </c>
      <c r="C69" s="359">
        <v>3.2242071232876715</v>
      </c>
    </row>
    <row r="70" spans="1:3" ht="15">
      <c r="A70" s="182">
        <v>7</v>
      </c>
      <c r="B70" s="188" t="s">
        <v>39</v>
      </c>
      <c r="C70" s="273">
        <v>1050.6124971320821</v>
      </c>
    </row>
  </sheetData>
  <sheetProtection/>
  <mergeCells count="7">
    <mergeCell ref="A37:B37"/>
    <mergeCell ref="F14:L14"/>
    <mergeCell ref="F28:F29"/>
    <mergeCell ref="G28:G29"/>
    <mergeCell ref="A2:B2"/>
    <mergeCell ref="A4:B4"/>
    <mergeCell ref="A27:B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
    </sheetView>
  </sheetViews>
  <sheetFormatPr defaultColWidth="9.140625" defaultRowHeight="12.75"/>
  <cols>
    <col min="2" max="2" width="54.28125" style="0" bestFit="1" customWidth="1"/>
    <col min="3" max="3" width="14.421875" style="0" bestFit="1" customWidth="1"/>
    <col min="11" max="11" width="11.421875" style="0" bestFit="1" customWidth="1"/>
    <col min="12" max="12" width="12.28125" style="0" bestFit="1" customWidth="1"/>
    <col min="13" max="14" width="13.28125" style="0" bestFit="1" customWidth="1"/>
    <col min="15" max="15" width="15.00390625" style="0" bestFit="1" customWidth="1"/>
  </cols>
  <sheetData>
    <row r="1" ht="14.25">
      <c r="A1" s="1" t="s">
        <v>94</v>
      </c>
    </row>
    <row r="2" ht="15">
      <c r="A2" s="2"/>
    </row>
    <row r="3" spans="1:4" ht="119.25" customHeight="1">
      <c r="A3" s="483" t="s">
        <v>95</v>
      </c>
      <c r="B3" s="484"/>
      <c r="C3" s="464"/>
      <c r="D3" s="464"/>
    </row>
    <row r="4" ht="15">
      <c r="A4" s="2"/>
    </row>
    <row r="5" spans="1:3" ht="15.75" customHeight="1" thickBot="1">
      <c r="A5" s="460" t="s">
        <v>96</v>
      </c>
      <c r="B5" s="460"/>
      <c r="C5" s="460"/>
    </row>
    <row r="6" spans="1:3" ht="15.75" thickBot="1">
      <c r="A6" s="181" t="s">
        <v>2</v>
      </c>
      <c r="B6" s="181" t="s">
        <v>3</v>
      </c>
      <c r="C6" s="181" t="s">
        <v>4</v>
      </c>
    </row>
    <row r="7" spans="1:5" ht="15">
      <c r="A7" s="182">
        <v>1</v>
      </c>
      <c r="B7" s="183" t="s">
        <v>97</v>
      </c>
      <c r="C7" s="428">
        <v>18852689.88095238</v>
      </c>
      <c r="E7" s="353"/>
    </row>
    <row r="8" spans="1:5" ht="15">
      <c r="A8" s="182">
        <v>2</v>
      </c>
      <c r="B8" s="183" t="s">
        <v>98</v>
      </c>
      <c r="C8" s="428">
        <v>50749117.73809524</v>
      </c>
      <c r="E8" s="353"/>
    </row>
    <row r="9" spans="1:5" ht="15">
      <c r="A9" s="182">
        <v>3</v>
      </c>
      <c r="B9" s="183" t="s">
        <v>99</v>
      </c>
      <c r="C9" s="428">
        <v>11688920.952380951</v>
      </c>
      <c r="E9" s="353"/>
    </row>
    <row r="10" spans="1:5" ht="15">
      <c r="A10" s="182">
        <v>4</v>
      </c>
      <c r="B10" s="183" t="s">
        <v>100</v>
      </c>
      <c r="C10" s="428">
        <v>28672602.38095238</v>
      </c>
      <c r="E10" s="353"/>
    </row>
    <row r="11" spans="1:5" ht="15.75" thickBot="1">
      <c r="A11" s="182">
        <v>5</v>
      </c>
      <c r="B11" s="183" t="s">
        <v>101</v>
      </c>
      <c r="C11" s="428">
        <v>978221.3095238095</v>
      </c>
      <c r="E11" s="353"/>
    </row>
    <row r="12" spans="1:15" ht="15">
      <c r="A12" s="182">
        <v>6</v>
      </c>
      <c r="B12" s="183" t="s">
        <v>102</v>
      </c>
      <c r="C12" s="428">
        <v>8250763.69047619</v>
      </c>
      <c r="E12" s="353"/>
      <c r="I12" s="341" t="s">
        <v>41</v>
      </c>
      <c r="J12" s="342"/>
      <c r="K12" s="342"/>
      <c r="L12" s="342"/>
      <c r="M12" s="342"/>
      <c r="N12" s="342"/>
      <c r="O12" s="343"/>
    </row>
    <row r="13" spans="1:15" ht="15">
      <c r="A13" s="182">
        <v>7</v>
      </c>
      <c r="B13" s="183" t="s">
        <v>103</v>
      </c>
      <c r="C13" s="428">
        <v>9052779.404761905</v>
      </c>
      <c r="E13" s="353"/>
      <c r="I13" s="193"/>
      <c r="J13" s="194"/>
      <c r="K13" s="194"/>
      <c r="L13" s="194"/>
      <c r="M13" s="194"/>
      <c r="N13" s="194"/>
      <c r="O13" s="195"/>
    </row>
    <row r="14" spans="1:15" ht="15">
      <c r="A14" s="182">
        <v>8</v>
      </c>
      <c r="B14" s="183" t="s">
        <v>104</v>
      </c>
      <c r="C14" s="428">
        <v>11592495.833333334</v>
      </c>
      <c r="E14" s="353"/>
      <c r="I14" s="196"/>
      <c r="J14" s="197" t="s">
        <v>42</v>
      </c>
      <c r="K14" s="198"/>
      <c r="L14" s="198"/>
      <c r="M14" s="198"/>
      <c r="N14" s="198"/>
      <c r="O14" s="199"/>
    </row>
    <row r="15" spans="1:15" ht="15">
      <c r="A15" s="182">
        <v>9</v>
      </c>
      <c r="B15" s="183" t="s">
        <v>105</v>
      </c>
      <c r="C15" s="428">
        <v>31524441.42857143</v>
      </c>
      <c r="E15" s="353"/>
      <c r="I15" s="196"/>
      <c r="J15" s="200" t="s">
        <v>21</v>
      </c>
      <c r="K15" s="201"/>
      <c r="L15" s="201"/>
      <c r="M15" s="202">
        <v>0.06</v>
      </c>
      <c r="N15" s="198"/>
      <c r="O15" s="199"/>
    </row>
    <row r="16" spans="1:15" ht="15">
      <c r="A16" s="182">
        <v>10</v>
      </c>
      <c r="B16" s="183" t="s">
        <v>106</v>
      </c>
      <c r="C16" s="428">
        <v>1842860.7142857143</v>
      </c>
      <c r="E16" s="353"/>
      <c r="I16" s="196"/>
      <c r="J16" s="203" t="s">
        <v>23</v>
      </c>
      <c r="K16" s="198"/>
      <c r="L16" s="198"/>
      <c r="M16" s="204">
        <v>0.005</v>
      </c>
      <c r="N16" s="198"/>
      <c r="O16" s="199"/>
    </row>
    <row r="17" spans="1:15" ht="15">
      <c r="A17" s="182">
        <v>11</v>
      </c>
      <c r="B17" s="183" t="s">
        <v>107</v>
      </c>
      <c r="C17" s="428">
        <v>2310020.3571428573</v>
      </c>
      <c r="E17" s="353"/>
      <c r="I17" s="196"/>
      <c r="J17" s="203" t="s">
        <v>24</v>
      </c>
      <c r="K17" s="198"/>
      <c r="L17" s="198"/>
      <c r="M17" s="205">
        <v>20</v>
      </c>
      <c r="N17" s="198"/>
      <c r="O17" s="199"/>
    </row>
    <row r="18" spans="1:15" ht="15">
      <c r="A18" s="182">
        <v>12</v>
      </c>
      <c r="B18" s="183" t="s">
        <v>108</v>
      </c>
      <c r="C18" s="428">
        <v>227619.04761904763</v>
      </c>
      <c r="E18" s="353"/>
      <c r="I18" s="196"/>
      <c r="J18" s="203" t="s">
        <v>26</v>
      </c>
      <c r="K18" s="198"/>
      <c r="L18" s="198"/>
      <c r="M18" s="205">
        <v>240</v>
      </c>
      <c r="N18" s="198"/>
      <c r="O18" s="199"/>
    </row>
    <row r="19" spans="1:15" ht="15">
      <c r="A19" s="182">
        <v>13</v>
      </c>
      <c r="B19" s="183" t="s">
        <v>109</v>
      </c>
      <c r="C19" s="428">
        <v>113809.52380952382</v>
      </c>
      <c r="E19" s="353"/>
      <c r="I19" s="196"/>
      <c r="J19" s="203" t="s">
        <v>43</v>
      </c>
      <c r="K19" s="198"/>
      <c r="L19" s="198"/>
      <c r="M19" s="447">
        <f>C48</f>
        <v>258592337.97619048</v>
      </c>
      <c r="N19" s="198"/>
      <c r="O19" s="199"/>
    </row>
    <row r="20" spans="1:15" ht="15">
      <c r="A20" s="182">
        <v>14</v>
      </c>
      <c r="B20" s="183" t="s">
        <v>110</v>
      </c>
      <c r="C20" s="428">
        <v>104960.83333333333</v>
      </c>
      <c r="E20" s="353"/>
      <c r="I20" s="196"/>
      <c r="J20" s="203"/>
      <c r="K20" s="198"/>
      <c r="L20" s="198"/>
      <c r="M20" s="206"/>
      <c r="N20" s="198"/>
      <c r="O20" s="199"/>
    </row>
    <row r="21" spans="1:15" ht="15">
      <c r="A21" s="182">
        <v>15</v>
      </c>
      <c r="B21" s="183" t="s">
        <v>111</v>
      </c>
      <c r="C21" s="428">
        <v>248389.2857142857</v>
      </c>
      <c r="E21" s="353"/>
      <c r="I21" s="196"/>
      <c r="J21" s="203" t="s">
        <v>44</v>
      </c>
      <c r="K21" s="198"/>
      <c r="L21" s="198"/>
      <c r="M21" s="207">
        <f>PMT(M16,M18,M19)*-1</f>
        <v>1852635.8241062548</v>
      </c>
      <c r="N21" s="198"/>
      <c r="O21" s="199"/>
    </row>
    <row r="22" spans="1:15" ht="15.75" thickBot="1">
      <c r="A22" s="182">
        <v>16</v>
      </c>
      <c r="B22" s="183" t="s">
        <v>112</v>
      </c>
      <c r="C22" s="428">
        <v>52636.90476190476</v>
      </c>
      <c r="E22" s="353"/>
      <c r="I22" s="196"/>
      <c r="J22" s="203" t="s">
        <v>45</v>
      </c>
      <c r="K22" s="198"/>
      <c r="L22" s="198"/>
      <c r="M22" s="207">
        <f>M21*12</f>
        <v>22231629.88927506</v>
      </c>
      <c r="N22" s="198"/>
      <c r="O22" s="199"/>
    </row>
    <row r="23" spans="1:15" ht="15">
      <c r="A23" s="182"/>
      <c r="B23" s="421" t="s">
        <v>113</v>
      </c>
      <c r="C23" s="444">
        <v>176262329.2857143</v>
      </c>
      <c r="E23" s="420"/>
      <c r="I23" s="196"/>
      <c r="J23" s="208" t="s">
        <v>46</v>
      </c>
      <c r="K23" s="209"/>
      <c r="L23" s="209"/>
      <c r="M23" s="210">
        <f>M22*M17</f>
        <v>444632597.7855012</v>
      </c>
      <c r="N23" s="198"/>
      <c r="O23" s="199"/>
    </row>
    <row r="24" spans="1:15" ht="15">
      <c r="A24" s="2"/>
      <c r="E24" s="353"/>
      <c r="I24" s="196"/>
      <c r="J24" s="198"/>
      <c r="K24" s="198"/>
      <c r="L24" s="198"/>
      <c r="M24" s="198"/>
      <c r="N24" s="198"/>
      <c r="O24" s="199"/>
    </row>
    <row r="25" spans="1:15" ht="15">
      <c r="A25" s="2"/>
      <c r="E25" s="353"/>
      <c r="I25" s="196" t="s">
        <v>47</v>
      </c>
      <c r="J25" s="198"/>
      <c r="K25" s="198"/>
      <c r="L25" s="198"/>
      <c r="M25" s="198"/>
      <c r="N25" s="198"/>
      <c r="O25" s="199"/>
    </row>
    <row r="26" spans="2:15" ht="78.75" customHeight="1">
      <c r="B26" s="483" t="s">
        <v>114</v>
      </c>
      <c r="C26" s="484"/>
      <c r="D26" s="464"/>
      <c r="E26" s="464"/>
      <c r="I26" s="344" t="s">
        <v>48</v>
      </c>
      <c r="J26" s="211" t="s">
        <v>49</v>
      </c>
      <c r="K26" s="211" t="s">
        <v>50</v>
      </c>
      <c r="L26" s="211" t="s">
        <v>51</v>
      </c>
      <c r="M26" s="211" t="s">
        <v>52</v>
      </c>
      <c r="N26" s="211" t="s">
        <v>53</v>
      </c>
      <c r="O26" s="212" t="s">
        <v>67</v>
      </c>
    </row>
    <row r="27" spans="1:15" ht="15.75" thickBot="1">
      <c r="A27" s="2"/>
      <c r="E27" s="353"/>
      <c r="I27" s="345"/>
      <c r="J27" s="346"/>
      <c r="K27" s="213" t="s">
        <v>69</v>
      </c>
      <c r="L27" s="213" t="s">
        <v>70</v>
      </c>
      <c r="M27" s="213" t="s">
        <v>71</v>
      </c>
      <c r="N27" s="213" t="s">
        <v>72</v>
      </c>
      <c r="O27" s="214"/>
    </row>
    <row r="28" spans="1:15" ht="15">
      <c r="A28" s="485" t="s">
        <v>115</v>
      </c>
      <c r="B28" s="485"/>
      <c r="C28" s="485"/>
      <c r="D28" s="464"/>
      <c r="E28" s="464"/>
      <c r="I28" s="215" t="s">
        <v>54</v>
      </c>
      <c r="J28" s="216">
        <v>1</v>
      </c>
      <c r="K28" s="217">
        <f>PPMT($M$16,J28,$M$18,$M$19)*-1</f>
        <v>559674.1342253024</v>
      </c>
      <c r="L28" s="217">
        <f>M28-K28</f>
        <v>1292961.6898809525</v>
      </c>
      <c r="M28" s="217">
        <f>$M$21</f>
        <v>1852635.8241062548</v>
      </c>
      <c r="N28" s="217">
        <f>$M$19-K28</f>
        <v>258032663.84196517</v>
      </c>
      <c r="O28" s="218">
        <f>N28*(0.04/12)</f>
        <v>860108.8794732173</v>
      </c>
    </row>
    <row r="29" spans="1:15" ht="15.75" thickBot="1">
      <c r="A29" s="186" t="s">
        <v>2</v>
      </c>
      <c r="B29" s="181" t="s">
        <v>3</v>
      </c>
      <c r="C29" s="187" t="s">
        <v>4</v>
      </c>
      <c r="E29" s="353"/>
      <c r="I29" s="219" t="s">
        <v>55</v>
      </c>
      <c r="J29" s="220">
        <v>2</v>
      </c>
      <c r="K29" s="217">
        <f aca="true" t="shared" si="0" ref="K29:K39">PPMT($M$16,J29,$M$18,$M$19)*-1</f>
        <v>562472.504896429</v>
      </c>
      <c r="L29" s="217">
        <f aca="true" t="shared" si="1" ref="L29:L39">M29-K29</f>
        <v>1290163.3192098257</v>
      </c>
      <c r="M29" s="217">
        <f aca="true" t="shared" si="2" ref="M29:M39">$M$21</f>
        <v>1852635.8241062548</v>
      </c>
      <c r="N29" s="217">
        <f aca="true" t="shared" si="3" ref="N29:N39">$M$19-K29</f>
        <v>258029865.47129405</v>
      </c>
      <c r="O29" s="218">
        <f aca="true" t="shared" si="4" ref="O29:O39">N29*(0.04/12)</f>
        <v>860099.5515709802</v>
      </c>
    </row>
    <row r="30" spans="1:15" ht="15">
      <c r="A30" s="183"/>
      <c r="B30" s="183" t="s">
        <v>116</v>
      </c>
      <c r="C30" s="182"/>
      <c r="I30" s="219" t="s">
        <v>56</v>
      </c>
      <c r="J30" s="220">
        <v>3</v>
      </c>
      <c r="K30" s="217">
        <f t="shared" si="0"/>
        <v>565284.8674209111</v>
      </c>
      <c r="L30" s="217">
        <f t="shared" si="1"/>
        <v>1287350.9566853438</v>
      </c>
      <c r="M30" s="217">
        <f t="shared" si="2"/>
        <v>1852635.8241062548</v>
      </c>
      <c r="N30" s="217">
        <f t="shared" si="3"/>
        <v>258027053.10876957</v>
      </c>
      <c r="O30" s="218">
        <f t="shared" si="4"/>
        <v>860090.1770292319</v>
      </c>
    </row>
    <row r="31" spans="1:15" ht="15">
      <c r="A31" s="182">
        <v>1</v>
      </c>
      <c r="B31" s="188" t="s">
        <v>117</v>
      </c>
      <c r="C31" s="273">
        <v>1138095.238095238</v>
      </c>
      <c r="I31" s="219" t="s">
        <v>57</v>
      </c>
      <c r="J31" s="220">
        <v>4</v>
      </c>
      <c r="K31" s="217">
        <f t="shared" si="0"/>
        <v>568111.2917580156</v>
      </c>
      <c r="L31" s="217">
        <f t="shared" si="1"/>
        <v>1284524.5323482393</v>
      </c>
      <c r="M31" s="217">
        <f t="shared" si="2"/>
        <v>1852635.8241062548</v>
      </c>
      <c r="N31" s="217">
        <f t="shared" si="3"/>
        <v>258024226.68443248</v>
      </c>
      <c r="O31" s="218">
        <f t="shared" si="4"/>
        <v>860080.755614775</v>
      </c>
    </row>
    <row r="32" spans="1:15" ht="15">
      <c r="A32" s="182">
        <v>2</v>
      </c>
      <c r="B32" s="188" t="s">
        <v>118</v>
      </c>
      <c r="C32" s="273">
        <v>853571.4285714285</v>
      </c>
      <c r="I32" s="219" t="s">
        <v>58</v>
      </c>
      <c r="J32" s="220">
        <v>5</v>
      </c>
      <c r="K32" s="217">
        <f t="shared" si="0"/>
        <v>570951.8482168057</v>
      </c>
      <c r="L32" s="217">
        <f t="shared" si="1"/>
        <v>1281683.975889449</v>
      </c>
      <c r="M32" s="217">
        <f t="shared" si="2"/>
        <v>1852635.8241062548</v>
      </c>
      <c r="N32" s="217">
        <f t="shared" si="3"/>
        <v>258021386.12797368</v>
      </c>
      <c r="O32" s="218">
        <f t="shared" si="4"/>
        <v>860071.2870932457</v>
      </c>
    </row>
    <row r="33" spans="1:15" ht="15">
      <c r="A33" s="182">
        <v>3</v>
      </c>
      <c r="B33" s="188" t="s">
        <v>119</v>
      </c>
      <c r="C33" s="273">
        <v>1824736.5476190476</v>
      </c>
      <c r="I33" s="219" t="s">
        <v>59</v>
      </c>
      <c r="J33" s="220">
        <v>6</v>
      </c>
      <c r="K33" s="217">
        <f t="shared" si="0"/>
        <v>573806.6074578898</v>
      </c>
      <c r="L33" s="217">
        <f t="shared" si="1"/>
        <v>1278829.216648365</v>
      </c>
      <c r="M33" s="217">
        <f t="shared" si="2"/>
        <v>1852635.8241062548</v>
      </c>
      <c r="N33" s="217">
        <f t="shared" si="3"/>
        <v>258018531.3687326</v>
      </c>
      <c r="O33" s="218">
        <f t="shared" si="4"/>
        <v>860061.7712291087</v>
      </c>
    </row>
    <row r="34" spans="1:15" ht="15">
      <c r="A34" s="182"/>
      <c r="B34" s="183" t="s">
        <v>120</v>
      </c>
      <c r="C34" s="273">
        <v>0</v>
      </c>
      <c r="I34" s="219" t="s">
        <v>60</v>
      </c>
      <c r="J34" s="220">
        <v>7</v>
      </c>
      <c r="K34" s="217">
        <f t="shared" si="0"/>
        <v>576675.6404951791</v>
      </c>
      <c r="L34" s="217">
        <f t="shared" si="1"/>
        <v>1275960.1836110759</v>
      </c>
      <c r="M34" s="217">
        <f t="shared" si="2"/>
        <v>1852635.8241062548</v>
      </c>
      <c r="N34" s="217">
        <f t="shared" si="3"/>
        <v>258015662.3356953</v>
      </c>
      <c r="O34" s="218">
        <f t="shared" si="4"/>
        <v>860052.2077856511</v>
      </c>
    </row>
    <row r="35" spans="1:15" ht="15">
      <c r="A35" s="182">
        <v>4</v>
      </c>
      <c r="B35" s="188" t="s">
        <v>10</v>
      </c>
      <c r="C35" s="273">
        <v>6246037.380952381</v>
      </c>
      <c r="I35" s="219" t="s">
        <v>61</v>
      </c>
      <c r="J35" s="220">
        <v>8</v>
      </c>
      <c r="K35" s="217">
        <f t="shared" si="0"/>
        <v>579559.0186976552</v>
      </c>
      <c r="L35" s="217">
        <f t="shared" si="1"/>
        <v>1273076.8054085998</v>
      </c>
      <c r="M35" s="217">
        <f t="shared" si="2"/>
        <v>1852635.8241062548</v>
      </c>
      <c r="N35" s="217">
        <f t="shared" si="3"/>
        <v>258012778.95749283</v>
      </c>
      <c r="O35" s="218">
        <f t="shared" si="4"/>
        <v>860042.5965249762</v>
      </c>
    </row>
    <row r="36" spans="1:15" ht="15">
      <c r="A36" s="182">
        <v>5</v>
      </c>
      <c r="B36" s="188" t="s">
        <v>11</v>
      </c>
      <c r="C36" s="273">
        <v>61691818.0952381</v>
      </c>
      <c r="I36" s="219" t="s">
        <v>62</v>
      </c>
      <c r="J36" s="220">
        <v>9</v>
      </c>
      <c r="K36" s="217">
        <f t="shared" si="0"/>
        <v>582456.8137911434</v>
      </c>
      <c r="L36" s="217">
        <f t="shared" si="1"/>
        <v>1270179.0103151114</v>
      </c>
      <c r="M36" s="217">
        <f t="shared" si="2"/>
        <v>1852635.8241062548</v>
      </c>
      <c r="N36" s="217">
        <f t="shared" si="3"/>
        <v>258009881.16239932</v>
      </c>
      <c r="O36" s="218">
        <f t="shared" si="4"/>
        <v>860032.9372079978</v>
      </c>
    </row>
    <row r="37" spans="1:15" ht="15">
      <c r="A37" s="182">
        <v>6</v>
      </c>
      <c r="B37" s="188" t="s">
        <v>12</v>
      </c>
      <c r="C37" s="273">
        <v>8813125</v>
      </c>
      <c r="I37" s="219" t="s">
        <v>63</v>
      </c>
      <c r="J37" s="220">
        <v>10</v>
      </c>
      <c r="K37" s="217">
        <f t="shared" si="0"/>
        <v>585369.097860099</v>
      </c>
      <c r="L37" s="217">
        <f t="shared" si="1"/>
        <v>1267266.7262461558</v>
      </c>
      <c r="M37" s="217">
        <f t="shared" si="2"/>
        <v>1852635.8241062548</v>
      </c>
      <c r="N37" s="217">
        <f t="shared" si="3"/>
        <v>258006968.87833038</v>
      </c>
      <c r="O37" s="218">
        <f t="shared" si="4"/>
        <v>860023.2295944346</v>
      </c>
    </row>
    <row r="38" spans="1:15" ht="15">
      <c r="A38" s="182">
        <v>7</v>
      </c>
      <c r="B38" s="188" t="s">
        <v>13</v>
      </c>
      <c r="C38" s="273">
        <v>1762625</v>
      </c>
      <c r="I38" s="219" t="s">
        <v>64</v>
      </c>
      <c r="J38" s="220">
        <v>11</v>
      </c>
      <c r="K38" s="217">
        <f t="shared" si="0"/>
        <v>588295.9433493996</v>
      </c>
      <c r="L38" s="217">
        <f t="shared" si="1"/>
        <v>1264339.8807568552</v>
      </c>
      <c r="M38" s="217">
        <f t="shared" si="2"/>
        <v>1852635.8241062548</v>
      </c>
      <c r="N38" s="217">
        <f t="shared" si="3"/>
        <v>258004042.0328411</v>
      </c>
      <c r="O38" s="218">
        <f t="shared" si="4"/>
        <v>860013.4734428037</v>
      </c>
    </row>
    <row r="39" spans="1:15" ht="15">
      <c r="A39" s="182">
        <v>8</v>
      </c>
      <c r="B39" s="188" t="s">
        <v>121</v>
      </c>
      <c r="C39" s="428" t="s">
        <v>122</v>
      </c>
      <c r="I39" s="219" t="s">
        <v>65</v>
      </c>
      <c r="J39" s="220">
        <v>12</v>
      </c>
      <c r="K39" s="217">
        <f t="shared" si="0"/>
        <v>591237.4230661466</v>
      </c>
      <c r="L39" s="217">
        <f t="shared" si="1"/>
        <v>1261398.4010401084</v>
      </c>
      <c r="M39" s="217">
        <f t="shared" si="2"/>
        <v>1852635.8241062548</v>
      </c>
      <c r="N39" s="217">
        <f t="shared" si="3"/>
        <v>258001100.55312434</v>
      </c>
      <c r="O39" s="218">
        <f t="shared" si="4"/>
        <v>860003.6685104145</v>
      </c>
    </row>
    <row r="40" spans="1:15" ht="15">
      <c r="A40" s="182"/>
      <c r="B40" s="421" t="s">
        <v>14</v>
      </c>
      <c r="C40" s="445">
        <v>82330008.6904762</v>
      </c>
      <c r="I40" s="196"/>
      <c r="J40" s="198"/>
      <c r="K40" s="198"/>
      <c r="L40" s="198"/>
      <c r="M40" s="198"/>
      <c r="N40" s="198"/>
      <c r="O40" s="221"/>
    </row>
    <row r="41" spans="9:15" ht="13.5" thickBot="1">
      <c r="I41" s="222" t="s">
        <v>66</v>
      </c>
      <c r="J41" s="223"/>
      <c r="K41" s="224">
        <f>SUM(K28:K39)</f>
        <v>6903895.191234976</v>
      </c>
      <c r="L41" s="224">
        <f>SUM(L28:L39)</f>
        <v>15327734.698040083</v>
      </c>
      <c r="M41" s="224">
        <f>SUM(M28:M39)</f>
        <v>22231629.88927506</v>
      </c>
      <c r="N41" s="224"/>
      <c r="O41" s="225">
        <f>SUM(O28:O39)</f>
        <v>10320680.535076838</v>
      </c>
    </row>
    <row r="42" spans="2:15" ht="64.5" customHeight="1">
      <c r="B42" s="483" t="s">
        <v>123</v>
      </c>
      <c r="C42" s="484"/>
      <c r="I42" s="226"/>
      <c r="J42" s="226"/>
      <c r="K42" s="226"/>
      <c r="L42" s="226"/>
      <c r="M42" s="226"/>
      <c r="N42" s="226"/>
      <c r="O42" s="226"/>
    </row>
    <row r="43" spans="1:15" ht="15">
      <c r="A43" s="2"/>
      <c r="I43" s="227" t="s">
        <v>68</v>
      </c>
      <c r="J43" s="226"/>
      <c r="K43" s="226"/>
      <c r="L43" s="226"/>
      <c r="M43" s="226"/>
      <c r="N43" s="226"/>
      <c r="O43" s="446">
        <f>M19+L41-O41</f>
        <v>263599392.13915375</v>
      </c>
    </row>
    <row r="44" spans="1:4" ht="15.75" thickBot="1">
      <c r="A44" s="460" t="s">
        <v>124</v>
      </c>
      <c r="B44" s="460"/>
      <c r="C44" s="460"/>
      <c r="D44" s="460"/>
    </row>
    <row r="45" spans="1:4" ht="15.75" thickBot="1">
      <c r="A45" s="186" t="s">
        <v>2</v>
      </c>
      <c r="B45" s="181" t="s">
        <v>3</v>
      </c>
      <c r="C45" s="181" t="s">
        <v>16</v>
      </c>
      <c r="D45" s="181" t="s">
        <v>17</v>
      </c>
    </row>
    <row r="46" spans="1:3" ht="15">
      <c r="A46" s="182">
        <v>1</v>
      </c>
      <c r="B46" s="183" t="s">
        <v>18</v>
      </c>
      <c r="C46" s="428">
        <v>176262329.2857143</v>
      </c>
    </row>
    <row r="47" spans="1:3" ht="15">
      <c r="A47" s="182">
        <v>2</v>
      </c>
      <c r="B47" s="183" t="s">
        <v>78</v>
      </c>
      <c r="C47" s="428">
        <v>82330008.6904762</v>
      </c>
    </row>
    <row r="48" spans="1:3" ht="15">
      <c r="A48" s="182">
        <v>3</v>
      </c>
      <c r="B48" s="183" t="s">
        <v>20</v>
      </c>
      <c r="C48" s="428">
        <v>258592337.97619048</v>
      </c>
    </row>
    <row r="49" spans="1:3" ht="15">
      <c r="A49" s="182">
        <v>4</v>
      </c>
      <c r="B49" s="183" t="s">
        <v>21</v>
      </c>
      <c r="C49" s="189">
        <v>0.06</v>
      </c>
    </row>
    <row r="50" spans="1:3" ht="15">
      <c r="A50" s="182">
        <v>5</v>
      </c>
      <c r="B50" s="183" t="s">
        <v>23</v>
      </c>
      <c r="C50" s="189">
        <v>0.005</v>
      </c>
    </row>
    <row r="51" spans="1:3" ht="15">
      <c r="A51" s="182">
        <v>6</v>
      </c>
      <c r="B51" s="183" t="s">
        <v>24</v>
      </c>
      <c r="C51" s="189">
        <v>20</v>
      </c>
    </row>
    <row r="52" spans="1:3" ht="15">
      <c r="A52" s="182">
        <v>7</v>
      </c>
      <c r="B52" s="183" t="s">
        <v>26</v>
      </c>
      <c r="C52" s="189">
        <v>240</v>
      </c>
    </row>
    <row r="53" spans="1:3" ht="15">
      <c r="A53" s="182">
        <v>8</v>
      </c>
      <c r="B53" s="183" t="s">
        <v>27</v>
      </c>
      <c r="C53" s="428">
        <v>1852635.8241062842</v>
      </c>
    </row>
    <row r="54" spans="1:3" ht="15">
      <c r="A54" s="182">
        <v>9</v>
      </c>
      <c r="B54" s="183" t="s">
        <v>28</v>
      </c>
      <c r="C54" s="428">
        <v>22231629.88927541</v>
      </c>
    </row>
    <row r="55" spans="1:3" ht="15">
      <c r="A55" s="182">
        <v>10</v>
      </c>
      <c r="B55" s="188" t="s">
        <v>29</v>
      </c>
      <c r="C55" s="428">
        <v>10320680.535076838</v>
      </c>
    </row>
    <row r="57" spans="1:3" ht="35.25" customHeight="1">
      <c r="A57" s="458" t="s">
        <v>125</v>
      </c>
      <c r="B57" s="458"/>
      <c r="C57" s="458"/>
    </row>
    <row r="58" spans="1:3" ht="15.75" thickBot="1">
      <c r="A58" s="186" t="s">
        <v>2</v>
      </c>
      <c r="B58" s="181" t="s">
        <v>3</v>
      </c>
      <c r="C58" s="187" t="s">
        <v>16</v>
      </c>
    </row>
    <row r="59" spans="1:3" ht="15">
      <c r="A59" s="182"/>
      <c r="B59" s="183" t="s">
        <v>31</v>
      </c>
      <c r="C59" s="189"/>
    </row>
    <row r="60" spans="1:3" ht="15">
      <c r="A60" s="182"/>
      <c r="B60" s="188"/>
      <c r="C60" s="184"/>
    </row>
    <row r="61" spans="1:3" ht="15">
      <c r="A61" s="182">
        <v>2</v>
      </c>
      <c r="B61" s="188" t="s">
        <v>126</v>
      </c>
      <c r="C61" s="428">
        <v>16673721.19047619</v>
      </c>
    </row>
    <row r="62" spans="1:3" ht="15">
      <c r="A62" s="182">
        <v>3</v>
      </c>
      <c r="B62" s="188" t="s">
        <v>127</v>
      </c>
      <c r="C62" s="428">
        <v>16673721.19047619</v>
      </c>
    </row>
    <row r="63" spans="1:3" ht="15.75" thickBot="1">
      <c r="A63" s="181"/>
      <c r="B63" s="190" t="s">
        <v>32</v>
      </c>
      <c r="C63" s="443">
        <v>33347442.38095238</v>
      </c>
    </row>
    <row r="64" spans="1:3" ht="15">
      <c r="A64" s="182"/>
      <c r="B64" s="183" t="s">
        <v>33</v>
      </c>
      <c r="C64" s="189"/>
    </row>
    <row r="65" spans="1:3" ht="15">
      <c r="A65" s="182">
        <v>4</v>
      </c>
      <c r="B65" s="188" t="s">
        <v>34</v>
      </c>
      <c r="C65" s="189">
        <v>64.01785714285714</v>
      </c>
    </row>
    <row r="66" spans="1:3" ht="15">
      <c r="A66" s="182">
        <v>5</v>
      </c>
      <c r="B66" s="188" t="s">
        <v>35</v>
      </c>
      <c r="C66" s="184">
        <v>23366517.85714286</v>
      </c>
    </row>
    <row r="67" spans="1:3" ht="15.75" thickBot="1">
      <c r="A67" s="181">
        <v>6</v>
      </c>
      <c r="B67" s="191" t="s">
        <v>36</v>
      </c>
      <c r="C67" s="192">
        <v>71700</v>
      </c>
    </row>
    <row r="68" spans="1:3" ht="15">
      <c r="A68" s="182"/>
      <c r="B68" s="183" t="s">
        <v>37</v>
      </c>
      <c r="C68" s="189"/>
    </row>
    <row r="69" spans="1:3" ht="15">
      <c r="A69" s="182">
        <v>6</v>
      </c>
      <c r="B69" s="188" t="s">
        <v>38</v>
      </c>
      <c r="C69" s="281">
        <v>1.4271464231354642</v>
      </c>
    </row>
    <row r="70" spans="1:3" ht="15">
      <c r="A70" s="182">
        <v>7</v>
      </c>
      <c r="B70" s="188" t="s">
        <v>39</v>
      </c>
      <c r="C70" s="281">
        <v>465.0968253968254</v>
      </c>
    </row>
  </sheetData>
  <sheetProtection/>
  <mergeCells count="7">
    <mergeCell ref="B42:C42"/>
    <mergeCell ref="A44:D44"/>
    <mergeCell ref="A57:C57"/>
    <mergeCell ref="A3:D3"/>
    <mergeCell ref="A5:C5"/>
    <mergeCell ref="B26:E26"/>
    <mergeCell ref="A28:E28"/>
  </mergeCells>
  <printOptions/>
  <pageMargins left="0.75" right="0.75" top="1" bottom="1"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Telvent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Drew Leeper</dc:creator>
  <cp:keywords/>
  <dc:description/>
  <cp:lastModifiedBy>RWPG</cp:lastModifiedBy>
  <cp:lastPrinted>2010-09-29T13:18:12Z</cp:lastPrinted>
  <dcterms:created xsi:type="dcterms:W3CDTF">2010-06-14T15:29:20Z</dcterms:created>
  <dcterms:modified xsi:type="dcterms:W3CDTF">2012-10-19T21:31:14Z</dcterms:modified>
  <cp:category/>
  <cp:version/>
  <cp:contentType/>
  <cp:contentStatus/>
</cp:coreProperties>
</file>